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checkCompatibility="1" defaultThemeVersion="124226"/>
  <mc:AlternateContent xmlns:mc="http://schemas.openxmlformats.org/markup-compatibility/2006">
    <mc:Choice Requires="x15">
      <x15ac:absPath xmlns:x15ac="http://schemas.microsoft.com/office/spreadsheetml/2010/11/ac" url="\\rb.win.frb.org\G1\Accounts\M-O\g1jlm02\Redirected\Desktop\fee schedules\"/>
    </mc:Choice>
  </mc:AlternateContent>
  <workbookProtection workbookPassword="8325" lockStructure="1"/>
  <bookViews>
    <workbookView xWindow="510" yWindow="120" windowWidth="14960" windowHeight="6120" tabRatio="722"/>
  </bookViews>
  <sheets>
    <sheet name="Explanation" sheetId="1" r:id="rId1"/>
    <sheet name="Explanation Detail" sheetId="2" r:id="rId2"/>
    <sheet name="Historic Benchmark Volume" sheetId="3" state="hidden" r:id="rId3"/>
    <sheet name="Sheet2" sheetId="4" state="hidden" r:id="rId4"/>
  </sheets>
  <definedNames>
    <definedName name="_xlnm._FilterDatabase" localSheetId="0" hidden="1">Explanation!$A$34:$E$47</definedName>
    <definedName name="_xlnm._FilterDatabase" localSheetId="1" hidden="1">'Explanation Detail'!$A$22:$E$35</definedName>
    <definedName name="Hyperlink1">#REF!</definedName>
    <definedName name="Hyperlink2" localSheetId="1">'Explanation Detail'!$A$17</definedName>
    <definedName name="Hyperlink2">Explanation!$A$29</definedName>
    <definedName name="Z_3227145B_6A79_44BD_8157_6B92842E392E_.wvu.Cols" localSheetId="0" hidden="1">Explanation!$G:$K</definedName>
    <definedName name="Z_3227145B_6A79_44BD_8157_6B92842E392E_.wvu.Cols" localSheetId="3" hidden="1">Sheet2!$A:$G</definedName>
    <definedName name="Z_3227145B_6A79_44BD_8157_6B92842E392E_.wvu.FilterData" localSheetId="0" hidden="1">Explanation!$A$34:$E$47</definedName>
    <definedName name="Z_3227145B_6A79_44BD_8157_6B92842E392E_.wvu.FilterData" localSheetId="1" hidden="1">'Explanation Detail'!$A$22:$E$35</definedName>
    <definedName name="Z_3227145B_6A79_44BD_8157_6B92842E392E_.wvu.Rows" localSheetId="1" hidden="1">'Explanation Detail'!$2:$19</definedName>
    <definedName name="Z_9C314016_770F_4388_8EF1_C054F16E9C30_.wvu.Cols" localSheetId="0" hidden="1">Explanation!$G:$K</definedName>
    <definedName name="Z_9C314016_770F_4388_8EF1_C054F16E9C30_.wvu.Cols" localSheetId="3" hidden="1">Sheet2!$A:$G</definedName>
    <definedName name="Z_9C314016_770F_4388_8EF1_C054F16E9C30_.wvu.FilterData" localSheetId="0" hidden="1">Explanation!$A$34:$E$47</definedName>
    <definedName name="Z_9C314016_770F_4388_8EF1_C054F16E9C30_.wvu.FilterData" localSheetId="1" hidden="1">'Explanation Detail'!$A$22:$E$35</definedName>
    <definedName name="Z_9C314016_770F_4388_8EF1_C054F16E9C30_.wvu.Rows" localSheetId="1" hidden="1">'Explanation Detail'!$2:$19</definedName>
  </definedNames>
  <calcPr calcId="162913"/>
  <customWorkbookViews>
    <customWorkbookView name="b1ppamg - Personal View" guid="{3227145B-6A79-44BD-8157-6B92842E392E}" mergeInterval="0" personalView="1" maximized="1" windowWidth="1276" windowHeight="719" tabRatio="722" activeSheetId="1"/>
    <customWorkbookView name="G1sao01 - Personal View" guid="{9C314016-770F-4388-8EF1-C054F16E9C30}" mergeInterval="0" personalView="1" maximized="1" xWindow="1" yWindow="1" windowWidth="1280" windowHeight="790" tabRatio="722" activeSheetId="1"/>
  </customWorkbookViews>
</workbook>
</file>

<file path=xl/calcChain.xml><?xml version="1.0" encoding="utf-8"?>
<calcChain xmlns="http://schemas.openxmlformats.org/spreadsheetml/2006/main">
  <c r="C56" i="1" l="1"/>
  <c r="C55" i="1"/>
  <c r="E27" i="1" l="1"/>
  <c r="I3" i="4" l="1"/>
  <c r="E5" i="2"/>
  <c r="E6" i="2"/>
  <c r="E9" i="2"/>
  <c r="G23" i="2"/>
  <c r="G24" i="2"/>
  <c r="G27" i="2"/>
  <c r="G32" i="2" s="1"/>
  <c r="A47" i="2"/>
  <c r="C47" i="2"/>
  <c r="E19" i="1"/>
  <c r="H3" i="4" s="1"/>
  <c r="E15" i="2"/>
  <c r="B35" i="1"/>
  <c r="B23" i="2" s="1"/>
  <c r="G39" i="1"/>
  <c r="G44" i="1"/>
  <c r="A55" i="1"/>
  <c r="A43" i="2" s="1"/>
  <c r="B55" i="1"/>
  <c r="B43" i="2" s="1"/>
  <c r="C43" i="2"/>
  <c r="A56" i="1"/>
  <c r="A44" i="2" s="1"/>
  <c r="B56" i="1"/>
  <c r="B44" i="2" s="1"/>
  <c r="C44" i="2"/>
  <c r="B59" i="1"/>
  <c r="B47" i="2" s="1"/>
  <c r="D59" i="1" l="1"/>
  <c r="D47" i="2" s="1"/>
  <c r="D56" i="1"/>
  <c r="D44" i="2" s="1"/>
  <c r="D55" i="1"/>
  <c r="D43" i="2" s="1"/>
  <c r="J3" i="4"/>
  <c r="M3" i="4"/>
  <c r="E7" i="2"/>
  <c r="N3" i="4" l="1"/>
  <c r="L3" i="4"/>
  <c r="K3" i="4" s="1"/>
  <c r="O3" i="4" l="1"/>
  <c r="R3" i="4"/>
  <c r="Q3" i="4" s="1"/>
  <c r="D41" i="1" l="1"/>
  <c r="D40" i="1"/>
  <c r="P3" i="4"/>
  <c r="D46" i="1"/>
  <c r="D45" i="1"/>
  <c r="E45" i="1" l="1"/>
  <c r="I45" i="1"/>
  <c r="I33" i="2" s="1"/>
  <c r="E46" i="1"/>
  <c r="K46" i="1"/>
  <c r="K34" i="2" s="1"/>
  <c r="I46" i="1"/>
  <c r="I34" i="2" s="1"/>
  <c r="I40" i="1"/>
  <c r="I28" i="2" s="1"/>
  <c r="E40" i="1"/>
  <c r="G40" i="1"/>
  <c r="G28" i="2" s="1"/>
  <c r="G45" i="1"/>
  <c r="G33" i="2" s="1"/>
  <c r="G41" i="1"/>
  <c r="G29" i="2" s="1"/>
  <c r="E41" i="1"/>
  <c r="G46" i="1"/>
  <c r="G34" i="2" s="1"/>
  <c r="K41" i="1"/>
  <c r="K29" i="2" s="1"/>
  <c r="I41" i="1"/>
  <c r="I29" i="2" s="1"/>
  <c r="B62" i="1"/>
  <c r="C62" i="1" s="1"/>
  <c r="D34" i="2"/>
  <c r="A46" i="1"/>
  <c r="A34" i="2" s="1"/>
  <c r="D36" i="1"/>
  <c r="D35" i="1"/>
  <c r="E35" i="1" s="1"/>
  <c r="A40" i="1"/>
  <c r="A28" i="2" s="1"/>
  <c r="D28" i="2"/>
  <c r="B40" i="1"/>
  <c r="B28" i="2" s="1"/>
  <c r="D42" i="1"/>
  <c r="B45" i="1"/>
  <c r="B33" i="2" s="1"/>
  <c r="D33" i="2"/>
  <c r="D47" i="1"/>
  <c r="A45" i="1"/>
  <c r="A33" i="2" s="1"/>
  <c r="D29" i="2"/>
  <c r="B61" i="1"/>
  <c r="C61" i="1" s="1"/>
  <c r="A41" i="1"/>
  <c r="A29" i="2" s="1"/>
  <c r="E36" i="1" l="1"/>
  <c r="K36" i="1"/>
  <c r="K24" i="2" s="1"/>
  <c r="D51" i="1"/>
  <c r="A42" i="1"/>
  <c r="A30" i="2" s="1"/>
  <c r="B57" i="1"/>
  <c r="C57" i="1" s="1"/>
  <c r="D30" i="2"/>
  <c r="E34" i="2"/>
  <c r="L34" i="2" s="1"/>
  <c r="L46" i="1"/>
  <c r="A35" i="1"/>
  <c r="A23" i="2" s="1"/>
  <c r="D23" i="2"/>
  <c r="C35" i="1"/>
  <c r="C23" i="2" s="1"/>
  <c r="D37" i="1"/>
  <c r="B50" i="2"/>
  <c r="A62" i="1"/>
  <c r="A50" i="2" s="1"/>
  <c r="L41" i="1"/>
  <c r="E29" i="2"/>
  <c r="L29" i="2" s="1"/>
  <c r="A61" i="1"/>
  <c r="A49" i="2" s="1"/>
  <c r="B49" i="2"/>
  <c r="C36" i="1"/>
  <c r="C24" i="2" s="1"/>
  <c r="A36" i="1"/>
  <c r="A24" i="2" s="1"/>
  <c r="B60" i="1"/>
  <c r="D24" i="2"/>
  <c r="L45" i="1"/>
  <c r="E33" i="2"/>
  <c r="L33" i="2" s="1"/>
  <c r="A47" i="1"/>
  <c r="A35" i="2" s="1"/>
  <c r="B58" i="1"/>
  <c r="C58" i="1" s="1"/>
  <c r="L40" i="1"/>
  <c r="E28" i="2"/>
  <c r="L28" i="2" s="1"/>
  <c r="D35" i="2"/>
  <c r="B36" i="1" l="1"/>
  <c r="B24" i="2" s="1"/>
  <c r="C46" i="1"/>
  <c r="C34" i="2" s="1"/>
  <c r="C41" i="1"/>
  <c r="C29" i="2" s="1"/>
  <c r="D25" i="2"/>
  <c r="D61" i="1"/>
  <c r="D49" i="2" s="1"/>
  <c r="C49" i="2"/>
  <c r="D62" i="1"/>
  <c r="D50" i="2" s="1"/>
  <c r="C50" i="2"/>
  <c r="L35" i="1"/>
  <c r="E23" i="2"/>
  <c r="L23" i="2" s="1"/>
  <c r="C60" i="1"/>
  <c r="B48" i="2"/>
  <c r="A60" i="1"/>
  <c r="A48" i="2" s="1"/>
  <c r="L36" i="1"/>
  <c r="E24" i="2"/>
  <c r="L24" i="2" s="1"/>
  <c r="B46" i="2"/>
  <c r="A58" i="1"/>
  <c r="A46" i="2" s="1"/>
  <c r="A37" i="1"/>
  <c r="A25" i="2" s="1"/>
  <c r="C40" i="1"/>
  <c r="C45" i="1"/>
  <c r="B45" i="2"/>
  <c r="A57" i="1"/>
  <c r="A45" i="2" s="1"/>
  <c r="L52" i="1" l="1"/>
  <c r="C28" i="2"/>
  <c r="B41" i="1"/>
  <c r="B29" i="2" s="1"/>
  <c r="B37" i="2"/>
  <c r="D39" i="2"/>
  <c r="D58" i="1"/>
  <c r="D46" i="2" s="1"/>
  <c r="C46" i="2"/>
  <c r="C45" i="2"/>
  <c r="D57" i="1"/>
  <c r="D45" i="2" s="1"/>
  <c r="C48" i="2"/>
  <c r="D60" i="1"/>
  <c r="D48" i="2" s="1"/>
  <c r="C33" i="2"/>
  <c r="B46" i="1"/>
  <c r="B34" i="2" s="1"/>
  <c r="B49" i="1"/>
</calcChain>
</file>

<file path=xl/sharedStrings.xml><?xml version="1.0" encoding="utf-8"?>
<sst xmlns="http://schemas.openxmlformats.org/spreadsheetml/2006/main" count="130" uniqueCount="60">
  <si>
    <t>Volume</t>
  </si>
  <si>
    <t>Charge</t>
  </si>
  <si>
    <t>Tier 1</t>
  </si>
  <si>
    <t>Tier 2</t>
  </si>
  <si>
    <t>Tier 3</t>
  </si>
  <si>
    <t>Product Code and Name</t>
  </si>
  <si>
    <t>Rate</t>
  </si>
  <si>
    <t>Incentive discount schedule for your institution for this calendar month</t>
  </si>
  <si>
    <t>Total Fee</t>
  </si>
  <si>
    <t>In this month, one additional Funds transfer would have cost</t>
  </si>
  <si>
    <t>Pre-incentive Discount</t>
  </si>
  <si>
    <t>Incentive Discount</t>
  </si>
  <si>
    <t>Discount Calculator for Your Institution</t>
  </si>
  <si>
    <t>to</t>
  </si>
  <si>
    <t>Transfers
From</t>
  </si>
  <si>
    <t>= Monthly
Volume</t>
  </si>
  <si>
    <t>Section 3: The effective per-transfer price that your institution pays this month, taking into account pre-incentive and incentive discounts, is detailed below</t>
  </si>
  <si>
    <t>Section 4: How transfer fees will appear on your statement for this month</t>
  </si>
  <si>
    <t>Section 1: Please input the requested data from your bill in the yellow fields below (cell will turn green once data is entered):</t>
  </si>
  <si>
    <t>Total fee for transfers in this month</t>
  </si>
  <si>
    <t>=</t>
  </si>
  <si>
    <t>—</t>
  </si>
  <si>
    <t>x Per item Fee</t>
  </si>
  <si>
    <t>Gross Origination Volume (Product Code 10021)</t>
  </si>
  <si>
    <t>Gross Receipt Volume (Product Code 10022)</t>
  </si>
  <si>
    <t>Total Gross Volume</t>
  </si>
  <si>
    <t>Historic Benchmark Volume (Product Code 10025)</t>
  </si>
  <si>
    <t>Section 2: Incentive discounts calculated based on your monthly volume and your historic benchmark volume</t>
  </si>
  <si>
    <t>80% Incentive Discount for monthly volume greater than 50% of historic benchmark volume:</t>
  </si>
  <si>
    <t>10025 Historic Benchmark Volume</t>
  </si>
  <si>
    <t>Gross fee</t>
  </si>
  <si>
    <t>Master</t>
  </si>
  <si>
    <t>All Volume</t>
  </si>
  <si>
    <t>Discounted Volume</t>
  </si>
  <si>
    <t>Percent Discounted</t>
  </si>
  <si>
    <t>Tier1 Disc</t>
  </si>
  <si>
    <t>Tier2 Disc</t>
  </si>
  <si>
    <t>Tier3Disc</t>
  </si>
  <si>
    <t>011000028</t>
  </si>
  <si>
    <t>Gross Volume</t>
  </si>
  <si>
    <t>Benchmark</t>
  </si>
  <si>
    <t xml:space="preserve">                    Gross Origination Volume for all ABAs in Master Account Family (product code 10021)</t>
  </si>
  <si>
    <t xml:space="preserve">                    Total Monthly Gross Volume</t>
  </si>
  <si>
    <t xml:space="preserve">                    Historic Benchmark Volume (product code 10025)</t>
  </si>
  <si>
    <t xml:space="preserve">                    Gross Receipt Volume for all ABAs in Master Account Family (product code 10022)</t>
  </si>
  <si>
    <t>Master Account level detailed billing statements will include Fedwire Funds gross origination and gross receipt</t>
  </si>
  <si>
    <t xml:space="preserve">be included).  However, Master Account detailed billing statements will display pre-incentive and incentive </t>
  </si>
  <si>
    <t>Detailed billing Statements for individual Subaccounts will show Subaccount-only gross origination and gross</t>
  </si>
  <si>
    <t>To use this calculator, you must sum the gross origination and gross receipt volume for your Master and all</t>
  </si>
  <si>
    <t>related Subaccounts, available on each individual statement.</t>
  </si>
  <si>
    <t>receipt volume, but will not show any discounts.  Pre-incentive and incentive discounts earned for Subaccount</t>
  </si>
  <si>
    <t>activity will be displayed only on the Master Account billing statement.</t>
  </si>
  <si>
    <t>volume reflecting Master-only activity (i.e., gross origination and receipt volume of related Subaccounts will not</t>
  </si>
  <si>
    <t>discounts earned by the Master account AND any related Subaccounts.</t>
  </si>
  <si>
    <t>80% Incentive Discount for monthly volume greater than 60% of historic benchmark volume:</t>
  </si>
  <si>
    <t>2009</t>
  </si>
  <si>
    <t>2010</t>
  </si>
  <si>
    <t>2011</t>
  </si>
  <si>
    <t>2013 Est</t>
  </si>
  <si>
    <r>
      <t>Historic benchmark volume</t>
    </r>
    <r>
      <rPr>
        <i/>
        <sz val="11"/>
        <rFont val="Calibri"/>
        <family val="2"/>
      </rPr>
      <t xml:space="preserve"> – At the end of a given calendar month, the historic benchmark volume for a given master account family for that month is calculated by multiplying that customer’s 5 year daily average volume of Fedwire Funds sends plus receives rolling up to the master account by the number of business days in the current month.  For example, the historic benchmark volume for February 2018 would be [(daily average volume 2013 + daily average volume 2014 + daily average volume 2015 + daily average volume 2016 + daily average volume 2017) / 5) * number of business days in February 2018].
Note: If there are less than five prior calendar years of data available to calculate the historic benchmark volume statistic, the number of full calendar years available are used divided by the number of full calendar years. For example, for a customer that opened its account in June 15, 2015, the calculation would be  [(daily average volume 2016 + daily average volume 2017) / 2) * number of business days in February 2018].  If there is not a complete calendar year of history, the historic benchmark volume is equal to the current month volume in that month.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</si>
</sst>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 #,##0.0_);_(* \(#,##0.0\);_(* &quot;-&quot;??_);_(@_)"/>
    <numFmt numFmtId="166" formatCode="_(&quot;$&quot;* #,##0.0000_);_(&quot;$&quot;* \(#,##0.0000\);_(&quot;$&quot;* &quot;-&quot;??_);_(@_)"/>
    <numFmt numFmtId="167" formatCode="0.0%"/>
    <numFmt numFmtId="168" formatCode="_(&quot;$&quot;* #,##0.000_);_(&quot;$&quot;* \(#,##0.000\);_(&quot;$&quot;* &quot;-&quot;??_);_(@_)"/>
    <numFmt numFmtId="169" formatCode="_(* #,##0.000_);_(* \(#,##0.000\);_(* &quot;-&quot;??_);_(@_)"/>
  </numFmts>
  <fonts count="22" x14ac:knownFonts="1">
    <font>
      <sz val="11"/>
      <color theme="1"/>
      <name val="Calibri"/>
      <family val="2"/>
      <scheme val="minor"/>
    </font>
    <font>
      <i/>
      <sz val="11"/>
      <name val="Calibri"/>
      <family val="2"/>
    </font>
    <font>
      <sz val="10"/>
      <name val="MS Sans Serif"/>
      <family val="2"/>
    </font>
    <font>
      <sz val="10"/>
      <name val="Arial"/>
      <family val="2"/>
    </font>
    <font>
      <sz val="11"/>
      <color theme="1"/>
      <name val="Calibri"/>
      <family val="2"/>
      <scheme val="minor"/>
    </font>
    <font>
      <b/>
      <sz val="11"/>
      <color theme="1"/>
      <name val="Calibri"/>
      <family val="2"/>
      <scheme val="minor"/>
    </font>
    <font>
      <u/>
      <sz val="9.9"/>
      <color theme="10"/>
      <name val="Calibri"/>
      <family val="2"/>
    </font>
    <font>
      <b/>
      <sz val="14"/>
      <color theme="1"/>
      <name val="Calibri"/>
      <family val="2"/>
      <scheme val="minor"/>
    </font>
    <font>
      <b/>
      <sz val="11"/>
      <color rgb="FF0070C0"/>
      <name val="Calibri"/>
      <family val="2"/>
      <scheme val="minor"/>
    </font>
    <font>
      <b/>
      <sz val="11"/>
      <color rgb="FFFF0000"/>
      <name val="Calibri"/>
      <family val="2"/>
      <scheme val="minor"/>
    </font>
    <font>
      <u/>
      <sz val="11"/>
      <color theme="10"/>
      <name val="Calibri"/>
      <family val="2"/>
    </font>
    <font>
      <b/>
      <sz val="12"/>
      <color rgb="FFFF0000"/>
      <name val="Calibri"/>
      <family val="2"/>
      <scheme val="minor"/>
    </font>
    <font>
      <b/>
      <sz val="11"/>
      <color theme="3" tint="-0.249977111117893"/>
      <name val="Calibri"/>
      <family val="2"/>
      <scheme val="minor"/>
    </font>
    <font>
      <b/>
      <sz val="11"/>
      <color theme="1"/>
      <name val="Calibri"/>
      <family val="2"/>
    </font>
    <font>
      <sz val="11"/>
      <color theme="7" tint="-0.249977111117893"/>
      <name val="Calibri"/>
      <family val="2"/>
      <scheme val="minor"/>
    </font>
    <font>
      <b/>
      <sz val="11"/>
      <color rgb="FF000000"/>
      <name val="Calibri"/>
      <family val="2"/>
    </font>
    <font>
      <sz val="11"/>
      <color rgb="FF000000"/>
      <name val="Calibri"/>
      <family val="2"/>
    </font>
    <font>
      <b/>
      <sz val="16"/>
      <color theme="1"/>
      <name val="Calibri"/>
      <family val="2"/>
      <scheme val="minor"/>
    </font>
    <font>
      <sz val="14"/>
      <name val="Calibri"/>
      <family val="2"/>
      <scheme val="minor"/>
    </font>
    <font>
      <sz val="11"/>
      <name val="Calibri"/>
      <family val="2"/>
      <scheme val="minor"/>
    </font>
    <font>
      <b/>
      <sz val="11"/>
      <name val="Calibri"/>
      <family val="2"/>
      <scheme val="minor"/>
    </font>
    <font>
      <i/>
      <sz val="11"/>
      <color rgb="FF0070C0"/>
      <name val="Calibri"/>
      <family val="2"/>
      <scheme val="minor"/>
    </font>
  </fonts>
  <fills count="10">
    <fill>
      <patternFill patternType="none"/>
    </fill>
    <fill>
      <patternFill patternType="gray125"/>
    </fill>
    <fill>
      <patternFill patternType="solid">
        <fgColor rgb="FFEAEAEA"/>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99"/>
        <bgColor indexed="64"/>
      </patternFill>
    </fill>
    <fill>
      <patternFill patternType="solid">
        <fgColor theme="8" tint="0.79998168889431442"/>
        <bgColor indexed="64"/>
      </patternFill>
    </fill>
    <fill>
      <patternFill patternType="solid">
        <fgColor rgb="FFC0C0C0"/>
        <bgColor rgb="FFC0C0C0"/>
      </patternFill>
    </fill>
    <fill>
      <patternFill patternType="solid">
        <fgColor theme="4" tint="0.79998168889431442"/>
        <bgColor indexed="64"/>
      </patternFill>
    </fill>
    <fill>
      <patternFill patternType="solid">
        <fgColor rgb="FFE8E8E8"/>
        <bgColor indexed="64"/>
      </patternFill>
    </fill>
  </fills>
  <borders count="22">
    <border>
      <left/>
      <right/>
      <top/>
      <bottom/>
      <diagonal/>
    </border>
    <border>
      <left style="slantDashDot">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style="thin">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slantDashDot">
        <color indexed="64"/>
      </left>
      <right style="thin">
        <color indexed="64"/>
      </right>
      <top style="double">
        <color indexed="64"/>
      </top>
      <bottom style="thin">
        <color indexed="64"/>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bottom/>
      <diagonal/>
    </border>
    <border>
      <left style="thin">
        <color indexed="64"/>
      </left>
      <right style="slantDashDot">
        <color indexed="64"/>
      </right>
      <top style="double">
        <color indexed="64"/>
      </top>
      <bottom style="thin">
        <color indexed="64"/>
      </bottom>
      <diagonal/>
    </border>
    <border>
      <left/>
      <right style="slantDashDot">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10">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0" fontId="2" fillId="0" borderId="0"/>
    <xf numFmtId="9" fontId="2" fillId="0" borderId="0" applyFont="0" applyFill="0" applyBorder="0" applyAlignment="0" applyProtection="0"/>
  </cellStyleXfs>
  <cellXfs count="160">
    <xf numFmtId="0" fontId="0" fillId="0" borderId="0" xfId="0"/>
    <xf numFmtId="0" fontId="11" fillId="0" borderId="0" xfId="0" applyFont="1" applyBorder="1" applyAlignment="1">
      <alignment horizontal="left" wrapText="1"/>
    </xf>
    <xf numFmtId="0" fontId="11" fillId="0" borderId="8" xfId="0" applyFont="1" applyBorder="1" applyAlignment="1">
      <alignment horizontal="left" wrapText="1"/>
    </xf>
    <xf numFmtId="0" fontId="7" fillId="0" borderId="0" xfId="0" applyFont="1"/>
    <xf numFmtId="43" fontId="0" fillId="0" borderId="0" xfId="0" applyNumberFormat="1"/>
    <xf numFmtId="43" fontId="0" fillId="0" borderId="0" xfId="0" applyNumberFormat="1" applyBorder="1" applyAlignment="1">
      <alignment vertical="top"/>
    </xf>
    <xf numFmtId="164" fontId="0" fillId="0" borderId="0" xfId="0" applyNumberFormat="1" applyBorder="1" applyAlignment="1">
      <alignment horizontal="right" vertical="top"/>
    </xf>
    <xf numFmtId="166" fontId="4" fillId="0" borderId="0" xfId="5" applyNumberFormat="1" applyFont="1" applyBorder="1" applyAlignment="1">
      <alignment horizontal="right" vertical="top"/>
    </xf>
    <xf numFmtId="164" fontId="0" fillId="2" borderId="0" xfId="0" applyNumberFormat="1" applyFill="1" applyBorder="1" applyAlignment="1">
      <alignment horizontal="right"/>
    </xf>
    <xf numFmtId="166" fontId="4" fillId="2" borderId="0" xfId="5" applyNumberFormat="1" applyFont="1" applyFill="1" applyBorder="1" applyAlignment="1">
      <alignment horizontal="right"/>
    </xf>
    <xf numFmtId="43" fontId="0" fillId="0" borderId="0" xfId="0" applyNumberFormat="1" applyBorder="1"/>
    <xf numFmtId="164" fontId="0" fillId="2" borderId="0" xfId="0" applyNumberFormat="1" applyFill="1" applyBorder="1" applyAlignment="1">
      <alignment horizontal="left"/>
    </xf>
    <xf numFmtId="164" fontId="0" fillId="2" borderId="0" xfId="0" applyNumberFormat="1" applyFill="1" applyBorder="1"/>
    <xf numFmtId="164" fontId="0" fillId="0" borderId="0" xfId="0" applyNumberFormat="1" applyBorder="1"/>
    <xf numFmtId="0" fontId="0" fillId="0" borderId="1" xfId="0" applyBorder="1"/>
    <xf numFmtId="0" fontId="8" fillId="0" borderId="1" xfId="0" applyFont="1" applyBorder="1"/>
    <xf numFmtId="0" fontId="0" fillId="0" borderId="0" xfId="0" applyBorder="1"/>
    <xf numFmtId="0" fontId="8" fillId="0" borderId="2" xfId="0" applyFont="1" applyBorder="1"/>
    <xf numFmtId="0" fontId="0" fillId="0" borderId="3" xfId="0" applyBorder="1"/>
    <xf numFmtId="0" fontId="0" fillId="0" borderId="4" xfId="0" applyBorder="1"/>
    <xf numFmtId="0" fontId="9" fillId="0" borderId="1" xfId="0" applyFont="1" applyBorder="1"/>
    <xf numFmtId="43" fontId="0" fillId="0" borderId="5" xfId="0" applyNumberFormat="1" applyBorder="1"/>
    <xf numFmtId="43" fontId="0" fillId="0" borderId="1" xfId="0" applyNumberFormat="1" applyBorder="1"/>
    <xf numFmtId="164" fontId="4" fillId="0" borderId="0" xfId="3" applyNumberFormat="1" applyFont="1" applyBorder="1"/>
    <xf numFmtId="43" fontId="0" fillId="2" borderId="6" xfId="0" applyNumberFormat="1" applyFill="1" applyBorder="1"/>
    <xf numFmtId="165" fontId="0" fillId="2" borderId="6" xfId="0" applyNumberFormat="1" applyFill="1" applyBorder="1"/>
    <xf numFmtId="43" fontId="0" fillId="0" borderId="1" xfId="0" applyNumberFormat="1" applyBorder="1" applyAlignment="1">
      <alignment vertical="top"/>
    </xf>
    <xf numFmtId="43" fontId="5" fillId="3" borderId="7" xfId="0" applyNumberFormat="1" applyFont="1" applyFill="1" applyBorder="1"/>
    <xf numFmtId="43" fontId="5" fillId="3" borderId="8" xfId="0" applyNumberFormat="1" applyFont="1" applyFill="1" applyBorder="1"/>
    <xf numFmtId="43" fontId="0" fillId="0" borderId="8" xfId="0" applyNumberFormat="1" applyBorder="1"/>
    <xf numFmtId="43" fontId="0" fillId="0" borderId="9" xfId="0" applyNumberFormat="1" applyBorder="1"/>
    <xf numFmtId="43" fontId="5" fillId="0" borderId="2" xfId="0" applyNumberFormat="1" applyFont="1" applyBorder="1"/>
    <xf numFmtId="43" fontId="0" fillId="0" borderId="7" xfId="0" applyNumberFormat="1" applyBorder="1"/>
    <xf numFmtId="164" fontId="0" fillId="0" borderId="8" xfId="0" applyNumberFormat="1" applyBorder="1"/>
    <xf numFmtId="3" fontId="0" fillId="2" borderId="0" xfId="0" applyNumberFormat="1" applyFill="1" applyBorder="1"/>
    <xf numFmtId="3" fontId="4" fillId="2" borderId="0" xfId="5" applyNumberFormat="1" applyFont="1" applyFill="1" applyBorder="1" applyAlignment="1">
      <alignment horizontal="right"/>
    </xf>
    <xf numFmtId="164" fontId="4" fillId="0" borderId="0" xfId="3" applyNumberFormat="1" applyFont="1" applyFill="1" applyBorder="1"/>
    <xf numFmtId="43" fontId="5" fillId="0" borderId="3" xfId="0" applyNumberFormat="1" applyFont="1" applyBorder="1" applyAlignment="1">
      <alignment horizontal="right"/>
    </xf>
    <xf numFmtId="43" fontId="5" fillId="0" borderId="4" xfId="0" applyNumberFormat="1" applyFont="1" applyBorder="1" applyAlignment="1">
      <alignment horizontal="right"/>
    </xf>
    <xf numFmtId="0" fontId="10" fillId="0" borderId="0" xfId="6" applyFont="1" applyBorder="1" applyAlignment="1" applyProtection="1"/>
    <xf numFmtId="164" fontId="4" fillId="4" borderId="10" xfId="3" applyNumberFormat="1" applyFont="1" applyFill="1" applyBorder="1"/>
    <xf numFmtId="43" fontId="0" fillId="0" borderId="2" xfId="0" applyNumberFormat="1" applyBorder="1"/>
    <xf numFmtId="0" fontId="10" fillId="0" borderId="8" xfId="6" applyFont="1" applyBorder="1" applyAlignment="1" applyProtection="1"/>
    <xf numFmtId="43" fontId="0" fillId="0" borderId="3" xfId="0" applyNumberFormat="1" applyBorder="1"/>
    <xf numFmtId="0" fontId="10" fillId="0" borderId="3" xfId="6" applyFont="1" applyBorder="1" applyAlignment="1" applyProtection="1"/>
    <xf numFmtId="164" fontId="4" fillId="0" borderId="3" xfId="3" applyNumberFormat="1" applyFont="1" applyFill="1" applyBorder="1"/>
    <xf numFmtId="0" fontId="11" fillId="0" borderId="0" xfId="0" applyFont="1"/>
    <xf numFmtId="43" fontId="0" fillId="0" borderId="4" xfId="0" applyNumberFormat="1" applyBorder="1"/>
    <xf numFmtId="164" fontId="4" fillId="0" borderId="8" xfId="3" applyNumberFormat="1" applyFont="1" applyFill="1" applyBorder="1"/>
    <xf numFmtId="43" fontId="5" fillId="0" borderId="0" xfId="0" applyNumberFormat="1" applyFont="1" applyFill="1" applyBorder="1"/>
    <xf numFmtId="166" fontId="5" fillId="0" borderId="0" xfId="5" applyNumberFormat="1" applyFont="1" applyFill="1" applyBorder="1"/>
    <xf numFmtId="164" fontId="12" fillId="5" borderId="10" xfId="0" applyNumberFormat="1" applyFont="1" applyFill="1" applyBorder="1"/>
    <xf numFmtId="43" fontId="5" fillId="2" borderId="1" xfId="0" applyNumberFormat="1" applyFont="1" applyFill="1" applyBorder="1" applyAlignment="1">
      <alignment vertical="top"/>
    </xf>
    <xf numFmtId="44" fontId="5" fillId="2" borderId="0" xfId="5" applyFont="1" applyFill="1" applyBorder="1" applyAlignment="1">
      <alignment vertical="top"/>
    </xf>
    <xf numFmtId="43" fontId="0" fillId="0" borderId="1" xfId="0" applyNumberFormat="1" applyFill="1" applyBorder="1" applyAlignment="1">
      <alignment vertical="top"/>
    </xf>
    <xf numFmtId="43" fontId="0" fillId="0" borderId="0" xfId="0" applyNumberFormat="1" applyFill="1" applyBorder="1" applyAlignment="1">
      <alignment vertical="top"/>
    </xf>
    <xf numFmtId="164" fontId="0" fillId="0" borderId="0" xfId="0" applyNumberFormat="1" applyFill="1" applyBorder="1" applyAlignment="1">
      <alignment horizontal="right" vertical="top"/>
    </xf>
    <xf numFmtId="166" fontId="4" fillId="0" borderId="0" xfId="5" applyNumberFormat="1" applyFont="1" applyFill="1" applyBorder="1" applyAlignment="1">
      <alignment horizontal="right" vertical="top"/>
    </xf>
    <xf numFmtId="43" fontId="5" fillId="2" borderId="11" xfId="0" applyNumberFormat="1" applyFont="1" applyFill="1" applyBorder="1" applyAlignment="1">
      <alignment horizontal="center" vertical="center"/>
    </xf>
    <xf numFmtId="43" fontId="5" fillId="2" borderId="12" xfId="0" applyNumberFormat="1" applyFont="1" applyFill="1" applyBorder="1" applyAlignment="1">
      <alignment horizontal="center" vertical="center" wrapText="1"/>
    </xf>
    <xf numFmtId="43" fontId="5" fillId="2" borderId="12" xfId="0" applyNumberFormat="1" applyFont="1" applyFill="1" applyBorder="1" applyAlignment="1">
      <alignment horizontal="center" vertical="center"/>
    </xf>
    <xf numFmtId="43" fontId="5" fillId="2" borderId="12" xfId="0" quotePrefix="1" applyNumberFormat="1" applyFont="1" applyFill="1" applyBorder="1" applyAlignment="1">
      <alignment horizontal="center" vertical="center" wrapText="1"/>
    </xf>
    <xf numFmtId="164" fontId="5" fillId="2" borderId="12" xfId="0" applyNumberFormat="1" applyFont="1" applyFill="1" applyBorder="1" applyAlignment="1">
      <alignment horizontal="center" vertical="center" wrapText="1"/>
    </xf>
    <xf numFmtId="164" fontId="5" fillId="2" borderId="12" xfId="0" quotePrefix="1" applyNumberFormat="1" applyFont="1" applyFill="1" applyBorder="1" applyAlignment="1">
      <alignment horizontal="center" vertical="center" wrapText="1"/>
    </xf>
    <xf numFmtId="43" fontId="0" fillId="0" borderId="0" xfId="0" applyNumberFormat="1" applyAlignment="1">
      <alignment horizontal="center" vertical="center"/>
    </xf>
    <xf numFmtId="43" fontId="0" fillId="0" borderId="0" xfId="0" applyNumberFormat="1" applyBorder="1" applyAlignment="1">
      <alignment horizontal="center" vertical="center"/>
    </xf>
    <xf numFmtId="164" fontId="4" fillId="0" borderId="0" xfId="3" applyNumberFormat="1" applyFont="1" applyBorder="1" applyAlignment="1">
      <alignment horizontal="center" vertical="center"/>
    </xf>
    <xf numFmtId="0" fontId="0" fillId="0" borderId="0" xfId="0" applyFill="1" applyBorder="1"/>
    <xf numFmtId="166" fontId="5" fillId="0" borderId="8" xfId="5" applyNumberFormat="1" applyFont="1" applyFill="1" applyBorder="1"/>
    <xf numFmtId="0" fontId="11" fillId="0" borderId="0" xfId="0" applyFont="1" applyBorder="1" applyAlignment="1">
      <alignment wrapText="1"/>
    </xf>
    <xf numFmtId="0" fontId="11" fillId="0" borderId="8" xfId="0" applyFont="1" applyBorder="1" applyAlignment="1">
      <alignment wrapText="1"/>
    </xf>
    <xf numFmtId="43" fontId="13" fillId="6" borderId="12" xfId="0" applyNumberFormat="1" applyFont="1" applyFill="1" applyBorder="1" applyAlignment="1">
      <alignment horizontal="center" vertical="center" wrapText="1"/>
    </xf>
    <xf numFmtId="164" fontId="5" fillId="6" borderId="12" xfId="0" applyNumberFormat="1" applyFont="1" applyFill="1" applyBorder="1" applyAlignment="1">
      <alignment horizontal="center" vertical="center" wrapText="1"/>
    </xf>
    <xf numFmtId="43" fontId="5" fillId="6" borderId="12" xfId="0" applyNumberFormat="1" applyFont="1" applyFill="1" applyBorder="1" applyAlignment="1">
      <alignment horizontal="center" vertical="center" wrapText="1"/>
    </xf>
    <xf numFmtId="164" fontId="0" fillId="6" borderId="13" xfId="0" applyNumberFormat="1" applyFill="1" applyBorder="1" applyAlignment="1">
      <alignment horizontal="right" vertical="top"/>
    </xf>
    <xf numFmtId="43" fontId="5" fillId="0" borderId="1" xfId="1" applyNumberFormat="1" applyBorder="1"/>
    <xf numFmtId="0" fontId="5" fillId="0" borderId="0" xfId="1" applyBorder="1"/>
    <xf numFmtId="43" fontId="5" fillId="0" borderId="0" xfId="1" applyNumberFormat="1" applyBorder="1"/>
    <xf numFmtId="164" fontId="5" fillId="4" borderId="10" xfId="1" applyNumberFormat="1" applyFill="1" applyBorder="1"/>
    <xf numFmtId="43" fontId="5" fillId="0" borderId="5" xfId="1" applyNumberFormat="1" applyBorder="1"/>
    <xf numFmtId="43" fontId="5" fillId="0" borderId="0" xfId="1" applyNumberFormat="1"/>
    <xf numFmtId="43" fontId="5" fillId="2" borderId="14" xfId="1" applyNumberFormat="1" applyFill="1" applyBorder="1" applyAlignment="1">
      <alignment vertical="top"/>
    </xf>
    <xf numFmtId="43" fontId="5" fillId="2" borderId="13" xfId="1" applyNumberFormat="1" applyFill="1" applyBorder="1" applyAlignment="1">
      <alignment vertical="top"/>
    </xf>
    <xf numFmtId="164" fontId="5" fillId="2" borderId="13" xfId="1" applyNumberFormat="1" applyFill="1" applyBorder="1" applyAlignment="1">
      <alignment horizontal="right" vertical="top"/>
    </xf>
    <xf numFmtId="166" fontId="5" fillId="2" borderId="13" xfId="1" applyNumberFormat="1" applyFill="1" applyBorder="1" applyAlignment="1">
      <alignment horizontal="right" vertical="top"/>
    </xf>
    <xf numFmtId="0" fontId="5" fillId="0" borderId="0" xfId="2"/>
    <xf numFmtId="0" fontId="5" fillId="0" borderId="0" xfId="2" applyBorder="1"/>
    <xf numFmtId="43" fontId="5" fillId="0" borderId="0" xfId="2" applyNumberFormat="1" applyBorder="1"/>
    <xf numFmtId="164" fontId="5" fillId="0" borderId="0" xfId="2" applyNumberFormat="1" applyBorder="1"/>
    <xf numFmtId="43" fontId="5" fillId="0" borderId="4" xfId="2" applyNumberFormat="1" applyBorder="1"/>
    <xf numFmtId="43" fontId="5" fillId="0" borderId="5" xfId="2" applyNumberFormat="1" applyBorder="1"/>
    <xf numFmtId="164" fontId="5" fillId="2" borderId="15" xfId="2" applyNumberFormat="1" applyFill="1" applyBorder="1" applyAlignment="1">
      <alignment horizontal="center" vertical="center" wrapText="1"/>
    </xf>
    <xf numFmtId="43" fontId="5" fillId="0" borderId="0" xfId="2" applyNumberFormat="1"/>
    <xf numFmtId="164" fontId="0" fillId="0" borderId="0" xfId="0" applyNumberFormat="1" applyFill="1" applyBorder="1"/>
    <xf numFmtId="166" fontId="0" fillId="6" borderId="13" xfId="0" applyNumberFormat="1" applyFill="1" applyBorder="1" applyAlignment="1">
      <alignment horizontal="right" vertical="top"/>
    </xf>
    <xf numFmtId="43" fontId="6" fillId="0" borderId="3" xfId="6" applyNumberFormat="1" applyBorder="1" applyAlignment="1" applyProtection="1"/>
    <xf numFmtId="0" fontId="14" fillId="0" borderId="7" xfId="0" applyFont="1" applyBorder="1"/>
    <xf numFmtId="43" fontId="4" fillId="0" borderId="0" xfId="3" applyNumberFormat="1" applyFont="1" applyBorder="1"/>
    <xf numFmtId="1" fontId="0" fillId="0" borderId="0" xfId="0" applyNumberFormat="1"/>
    <xf numFmtId="0" fontId="3" fillId="0" borderId="0" xfId="7" applyFont="1"/>
    <xf numFmtId="0" fontId="3" fillId="0" borderId="0" xfId="8" applyFont="1"/>
    <xf numFmtId="9" fontId="3" fillId="0" borderId="0" xfId="9" applyFont="1" applyFill="1"/>
    <xf numFmtId="164" fontId="3" fillId="0" borderId="0" xfId="8" applyNumberFormat="1" applyFont="1"/>
    <xf numFmtId="0" fontId="15" fillId="7" borderId="10" xfId="0" applyFont="1" applyFill="1" applyBorder="1" applyAlignment="1" applyProtection="1">
      <alignment horizontal="center" vertical="center"/>
    </xf>
    <xf numFmtId="164" fontId="3" fillId="0" borderId="0" xfId="4" applyNumberFormat="1" applyFont="1" applyFill="1"/>
    <xf numFmtId="0" fontId="16" fillId="0" borderId="21" xfId="0" applyNumberFormat="1" applyFont="1" applyFill="1" applyBorder="1" applyAlignment="1" applyProtection="1">
      <alignment vertical="center" wrapText="1"/>
    </xf>
    <xf numFmtId="0" fontId="16" fillId="0" borderId="21" xfId="0" applyFont="1" applyFill="1" applyBorder="1" applyAlignment="1" applyProtection="1">
      <alignment vertical="center" wrapText="1"/>
    </xf>
    <xf numFmtId="0" fontId="16" fillId="0" borderId="21" xfId="0" applyFont="1" applyFill="1" applyBorder="1" applyAlignment="1" applyProtection="1">
      <alignment horizontal="right" vertical="center" wrapText="1"/>
    </xf>
    <xf numFmtId="0" fontId="3" fillId="0" borderId="0" xfId="8" applyFont="1" applyBorder="1"/>
    <xf numFmtId="164" fontId="3" fillId="0" borderId="0" xfId="4" applyNumberFormat="1" applyFont="1" applyBorder="1"/>
    <xf numFmtId="167" fontId="3" fillId="0" borderId="0" xfId="9" applyNumberFormat="1" applyFont="1" applyFill="1"/>
    <xf numFmtId="164" fontId="12" fillId="5" borderId="10" xfId="0" applyNumberFormat="1" applyFont="1" applyFill="1" applyBorder="1" applyProtection="1">
      <protection locked="0"/>
    </xf>
    <xf numFmtId="0" fontId="11" fillId="0" borderId="0" xfId="0" applyFont="1" applyProtection="1"/>
    <xf numFmtId="168" fontId="4" fillId="2" borderId="0" xfId="5" applyNumberFormat="1" applyFont="1" applyFill="1" applyBorder="1" applyAlignment="1">
      <alignment horizontal="right"/>
    </xf>
    <xf numFmtId="168" fontId="4" fillId="6" borderId="0" xfId="5" applyNumberFormat="1" applyFont="1" applyFill="1" applyBorder="1" applyAlignment="1">
      <alignment horizontal="right"/>
    </xf>
    <xf numFmtId="168" fontId="5" fillId="2" borderId="13" xfId="1" applyNumberFormat="1" applyFill="1" applyBorder="1" applyAlignment="1">
      <alignment horizontal="right" vertical="top"/>
    </xf>
    <xf numFmtId="168" fontId="0" fillId="6" borderId="13" xfId="0" applyNumberFormat="1" applyFill="1" applyBorder="1" applyAlignment="1">
      <alignment horizontal="right" vertical="top"/>
    </xf>
    <xf numFmtId="168" fontId="4" fillId="0" borderId="0" xfId="5" applyNumberFormat="1" applyFont="1" applyBorder="1" applyAlignment="1">
      <alignment horizontal="right" vertical="top"/>
    </xf>
    <xf numFmtId="168" fontId="0" fillId="6" borderId="0" xfId="0" applyNumberFormat="1" applyFill="1" applyBorder="1" applyAlignment="1">
      <alignment horizontal="right" vertical="top"/>
    </xf>
    <xf numFmtId="168" fontId="4" fillId="6" borderId="0" xfId="5" applyNumberFormat="1" applyFont="1" applyFill="1" applyBorder="1" applyAlignment="1">
      <alignment horizontal="right" vertical="top"/>
    </xf>
    <xf numFmtId="168" fontId="5" fillId="2" borderId="12" xfId="0" applyNumberFormat="1" applyFont="1" applyFill="1" applyBorder="1" applyAlignment="1">
      <alignment horizontal="center" vertical="center" wrapText="1"/>
    </xf>
    <xf numFmtId="168" fontId="5" fillId="2" borderId="12" xfId="0" quotePrefix="1" applyNumberFormat="1" applyFont="1" applyFill="1" applyBorder="1" applyAlignment="1">
      <alignment horizontal="center" vertical="center" wrapText="1"/>
    </xf>
    <xf numFmtId="168" fontId="5" fillId="6" borderId="12" xfId="0" applyNumberFormat="1" applyFont="1" applyFill="1" applyBorder="1" applyAlignment="1">
      <alignment horizontal="center" vertical="center" wrapText="1"/>
    </xf>
    <xf numFmtId="168" fontId="13" fillId="6" borderId="12" xfId="0" applyNumberFormat="1" applyFont="1" applyFill="1" applyBorder="1" applyAlignment="1">
      <alignment horizontal="center" vertical="center" wrapText="1"/>
    </xf>
    <xf numFmtId="168" fontId="5" fillId="0" borderId="5" xfId="2" applyNumberFormat="1" applyFill="1" applyBorder="1" applyAlignment="1">
      <alignment horizontal="right" vertical="top"/>
    </xf>
    <xf numFmtId="168" fontId="5" fillId="0" borderId="5" xfId="2" applyNumberFormat="1" applyBorder="1"/>
    <xf numFmtId="168" fontId="5" fillId="0" borderId="9" xfId="2" applyNumberFormat="1" applyBorder="1"/>
    <xf numFmtId="164" fontId="4" fillId="4" borderId="12" xfId="3" applyNumberFormat="1" applyFont="1" applyFill="1" applyBorder="1"/>
    <xf numFmtId="0" fontId="0" fillId="0" borderId="3" xfId="0" applyFill="1" applyBorder="1"/>
    <xf numFmtId="0" fontId="5" fillId="0" borderId="4" xfId="2" applyBorder="1"/>
    <xf numFmtId="0" fontId="0" fillId="0" borderId="8" xfId="0" applyBorder="1"/>
    <xf numFmtId="164" fontId="5" fillId="0" borderId="9" xfId="2" applyNumberFormat="1" applyBorder="1"/>
    <xf numFmtId="164" fontId="4" fillId="4" borderId="18" xfId="3" applyNumberFormat="1" applyFont="1" applyFill="1" applyBorder="1"/>
    <xf numFmtId="164" fontId="4" fillId="4" borderId="19" xfId="3" applyNumberFormat="1" applyFont="1" applyFill="1" applyBorder="1"/>
    <xf numFmtId="0" fontId="17" fillId="0" borderId="0" xfId="0" applyFont="1"/>
    <xf numFmtId="0" fontId="18" fillId="8" borderId="0" xfId="0" applyFont="1" applyFill="1"/>
    <xf numFmtId="0" fontId="19" fillId="8" borderId="0" xfId="0" applyFont="1" applyFill="1"/>
    <xf numFmtId="0" fontId="20" fillId="8" borderId="0" xfId="2" applyFont="1" applyFill="1"/>
    <xf numFmtId="0" fontId="0" fillId="0" borderId="1" xfId="0" quotePrefix="1" applyBorder="1"/>
    <xf numFmtId="0" fontId="5" fillId="0" borderId="1" xfId="1" quotePrefix="1" applyBorder="1"/>
    <xf numFmtId="0" fontId="18" fillId="8" borderId="0" xfId="0" applyNumberFormat="1" applyFont="1" applyFill="1"/>
    <xf numFmtId="169" fontId="0" fillId="0" borderId="0" xfId="0" applyNumberFormat="1"/>
    <xf numFmtId="4" fontId="5" fillId="2" borderId="17" xfId="2" applyNumberFormat="1" applyFill="1" applyBorder="1" applyAlignment="1">
      <alignment horizontal="right" vertical="top"/>
    </xf>
    <xf numFmtId="4" fontId="5" fillId="0" borderId="5" xfId="2" applyNumberFormat="1" applyFill="1" applyBorder="1" applyAlignment="1">
      <alignment horizontal="right" vertical="top"/>
    </xf>
    <xf numFmtId="4" fontId="5" fillId="0" borderId="5" xfId="2" applyNumberFormat="1" applyBorder="1"/>
    <xf numFmtId="4" fontId="5" fillId="0" borderId="9" xfId="2" applyNumberFormat="1" applyBorder="1"/>
    <xf numFmtId="168" fontId="4" fillId="0" borderId="0" xfId="5" applyNumberFormat="1" applyFont="1" applyBorder="1"/>
    <xf numFmtId="168" fontId="4" fillId="0" borderId="8" xfId="5" applyNumberFormat="1" applyFont="1" applyBorder="1"/>
    <xf numFmtId="43" fontId="4" fillId="0" borderId="5" xfId="5" applyNumberFormat="1" applyFont="1" applyBorder="1"/>
    <xf numFmtId="43" fontId="4" fillId="0" borderId="9" xfId="5" applyNumberFormat="1" applyFont="1" applyBorder="1"/>
    <xf numFmtId="44" fontId="5" fillId="2" borderId="16" xfId="2" applyNumberFormat="1" applyFill="1" applyBorder="1" applyAlignment="1">
      <alignment horizontal="right"/>
    </xf>
    <xf numFmtId="44" fontId="5" fillId="2" borderId="17" xfId="2" applyNumberFormat="1" applyFill="1" applyBorder="1" applyAlignment="1">
      <alignment horizontal="right" vertical="top"/>
    </xf>
    <xf numFmtId="44" fontId="5" fillId="0" borderId="16" xfId="2" applyNumberFormat="1" applyBorder="1" applyAlignment="1">
      <alignment horizontal="right" vertical="top"/>
    </xf>
    <xf numFmtId="44" fontId="5" fillId="2" borderId="15" xfId="2" applyNumberFormat="1" applyFill="1" applyBorder="1" applyAlignment="1">
      <alignment horizontal="center" vertical="center" wrapText="1"/>
    </xf>
    <xf numFmtId="168" fontId="5" fillId="3" borderId="8" xfId="5" applyNumberFormat="1" applyFont="1" applyFill="1" applyBorder="1"/>
    <xf numFmtId="44" fontId="4" fillId="0" borderId="5" xfId="5" applyNumberFormat="1" applyFont="1" applyBorder="1"/>
    <xf numFmtId="44" fontId="4" fillId="0" borderId="9" xfId="5" applyNumberFormat="1" applyFont="1" applyBorder="1"/>
    <xf numFmtId="0" fontId="21" fillId="9" borderId="19" xfId="0" applyFont="1" applyFill="1" applyBorder="1" applyAlignment="1">
      <alignment horizontal="left" wrapText="1"/>
    </xf>
    <xf numFmtId="0" fontId="0" fillId="9" borderId="12" xfId="0" applyFill="1" applyBorder="1" applyAlignment="1">
      <alignment horizontal="left" wrapText="1"/>
    </xf>
    <xf numFmtId="0" fontId="0" fillId="9" borderId="20" xfId="0" applyFill="1" applyBorder="1" applyAlignment="1">
      <alignment horizontal="left" wrapText="1"/>
    </xf>
  </cellXfs>
  <cellStyles count="10">
    <cellStyle name="ColLevel_1" xfId="2" builtinId="2" iLevel="0"/>
    <cellStyle name="Comma" xfId="3" builtinId="3"/>
    <cellStyle name="Comma 2" xfId="4"/>
    <cellStyle name="Currency" xfId="5" builtinId="4"/>
    <cellStyle name="Hyperlink" xfId="6" builtinId="8"/>
    <cellStyle name="Normal" xfId="0" builtinId="0"/>
    <cellStyle name="Normal 2" xfId="7"/>
    <cellStyle name="Normal 2 2" xfId="8"/>
    <cellStyle name="Percent 2" xfId="9"/>
    <cellStyle name="RowLevel_1" xfId="1" builtinId="1" iLevel="0"/>
  </cellStyles>
  <dxfs count="13">
    <dxf>
      <font>
        <color theme="0"/>
      </font>
    </dxf>
    <dxf>
      <font>
        <color theme="0"/>
      </font>
    </dxf>
    <dxf>
      <font>
        <color theme="0"/>
      </font>
    </dxf>
    <dxf>
      <font>
        <color theme="0"/>
      </font>
    </dxf>
    <dxf>
      <font>
        <color theme="0"/>
      </font>
    </dxf>
    <dxf>
      <font>
        <color theme="0"/>
      </font>
    </dxf>
    <dxf>
      <font>
        <color theme="0"/>
      </font>
    </dxf>
    <dxf>
      <fill>
        <patternFill>
          <bgColor rgb="FFFFFF66"/>
        </patternFill>
      </fill>
    </dxf>
    <dxf>
      <font>
        <color rgb="FFEAEAEA"/>
      </font>
    </dxf>
    <dxf>
      <font>
        <color theme="0"/>
      </font>
    </dxf>
    <dxf>
      <fill>
        <patternFill>
          <bgColor rgb="FFFFFF66"/>
        </patternFill>
      </fill>
    </dxf>
    <dxf>
      <font>
        <color rgb="FFEAEAEA"/>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Explanation Detail'!A1"/><Relationship Id="rId1" Type="http://schemas.openxmlformats.org/officeDocument/2006/relationships/hyperlink" Target="../../../../Local%20Settings/Temp/notesFFF692/~$FRBServices.org%20Incentive%20Pricing%20Calculator%20Oct%2012.xlsm"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Explanation!A20"/></Relationships>
</file>

<file path=xl/drawings/drawing1.xml><?xml version="1.0" encoding="utf-8"?>
<xdr:wsDr xmlns:xdr="http://schemas.openxmlformats.org/drawingml/2006/spreadsheetDrawing" xmlns:a="http://schemas.openxmlformats.org/drawingml/2006/main">
  <xdr:twoCellAnchor>
    <xdr:from>
      <xdr:col>2</xdr:col>
      <xdr:colOff>781050</xdr:colOff>
      <xdr:row>31</xdr:row>
      <xdr:rowOff>38100</xdr:rowOff>
    </xdr:from>
    <xdr:to>
      <xdr:col>4</xdr:col>
      <xdr:colOff>257175</xdr:colOff>
      <xdr:row>32</xdr:row>
      <xdr:rowOff>161925</xdr:rowOff>
    </xdr:to>
    <xdr:sp macro="" textlink="">
      <xdr:nvSpPr>
        <xdr:cNvPr id="8" name="Rounded Rectangle 7">
          <a:hlinkClick xmlns:r="http://schemas.openxmlformats.org/officeDocument/2006/relationships" r:id="rId1"/>
        </xdr:cNvPr>
        <xdr:cNvSpPr/>
      </xdr:nvSpPr>
      <xdr:spPr>
        <a:xfrm>
          <a:off x="4095750" y="4010025"/>
          <a:ext cx="1800225" cy="314325"/>
        </a:xfrm>
        <a:prstGeom prst="roundRect">
          <a:avLst/>
        </a:prstGeom>
        <a:solidFill>
          <a:schemeClr val="accent2">
            <a:lumMod val="60000"/>
            <a:lumOff val="40000"/>
          </a:schemeClr>
        </a:solidFill>
        <a:ln w="12700">
          <a:solidFill>
            <a:schemeClr val="tx1"/>
          </a:solidFill>
        </a:ln>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895350</xdr:colOff>
      <xdr:row>31</xdr:row>
      <xdr:rowOff>95250</xdr:rowOff>
    </xdr:from>
    <xdr:to>
      <xdr:col>4</xdr:col>
      <xdr:colOff>123825</xdr:colOff>
      <xdr:row>32</xdr:row>
      <xdr:rowOff>95250</xdr:rowOff>
    </xdr:to>
    <xdr:sp macro="" textlink="">
      <xdr:nvSpPr>
        <xdr:cNvPr id="9" name="TextBox 8">
          <a:hlinkClick xmlns:r="http://schemas.openxmlformats.org/officeDocument/2006/relationships" r:id="rId2"/>
        </xdr:cNvPr>
        <xdr:cNvSpPr txBox="1"/>
      </xdr:nvSpPr>
      <xdr:spPr>
        <a:xfrm>
          <a:off x="4210050" y="4067175"/>
          <a:ext cx="1552575" cy="190500"/>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Click to Show Fee Detail</a:t>
          </a:r>
        </a:p>
      </xdr:txBody>
    </xdr:sp>
    <xdr:clientData/>
  </xdr:twoCellAnchor>
  <xdr:twoCellAnchor>
    <xdr:from>
      <xdr:col>8</xdr:col>
      <xdr:colOff>28575</xdr:colOff>
      <xdr:row>33</xdr:row>
      <xdr:rowOff>38100</xdr:rowOff>
    </xdr:from>
    <xdr:to>
      <xdr:col>8</xdr:col>
      <xdr:colOff>704850</xdr:colOff>
      <xdr:row>34</xdr:row>
      <xdr:rowOff>0</xdr:rowOff>
    </xdr:to>
    <xdr:sp macro="" textlink="">
      <xdr:nvSpPr>
        <xdr:cNvPr id="2" name="Double Bracket 1"/>
        <xdr:cNvSpPr/>
      </xdr:nvSpPr>
      <xdr:spPr>
        <a:xfrm>
          <a:off x="6705600" y="4962525"/>
          <a:ext cx="67627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33</xdr:row>
      <xdr:rowOff>19050</xdr:rowOff>
    </xdr:from>
    <xdr:to>
      <xdr:col>10</xdr:col>
      <xdr:colOff>628650</xdr:colOff>
      <xdr:row>33</xdr:row>
      <xdr:rowOff>552450</xdr:rowOff>
    </xdr:to>
    <xdr:sp macro="" textlink="">
      <xdr:nvSpPr>
        <xdr:cNvPr id="3" name="Double Bracket 2"/>
        <xdr:cNvSpPr/>
      </xdr:nvSpPr>
      <xdr:spPr>
        <a:xfrm>
          <a:off x="8220075" y="4943475"/>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8</xdr:col>
      <xdr:colOff>28575</xdr:colOff>
      <xdr:row>38</xdr:row>
      <xdr:rowOff>38100</xdr:rowOff>
    </xdr:from>
    <xdr:to>
      <xdr:col>8</xdr:col>
      <xdr:colOff>704850</xdr:colOff>
      <xdr:row>39</xdr:row>
      <xdr:rowOff>0</xdr:rowOff>
    </xdr:to>
    <xdr:sp macro="" textlink="">
      <xdr:nvSpPr>
        <xdr:cNvPr id="31" name="Double Bracket 30"/>
        <xdr:cNvSpPr/>
      </xdr:nvSpPr>
      <xdr:spPr>
        <a:xfrm>
          <a:off x="7724775" y="4962525"/>
          <a:ext cx="6191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38</xdr:row>
      <xdr:rowOff>19050</xdr:rowOff>
    </xdr:from>
    <xdr:to>
      <xdr:col>10</xdr:col>
      <xdr:colOff>628650</xdr:colOff>
      <xdr:row>38</xdr:row>
      <xdr:rowOff>552450</xdr:rowOff>
    </xdr:to>
    <xdr:sp macro="" textlink="">
      <xdr:nvSpPr>
        <xdr:cNvPr id="32" name="Double Bracket 31"/>
        <xdr:cNvSpPr/>
      </xdr:nvSpPr>
      <xdr:spPr>
        <a:xfrm>
          <a:off x="8220075" y="6477000"/>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8</xdr:col>
      <xdr:colOff>28575</xdr:colOff>
      <xdr:row>43</xdr:row>
      <xdr:rowOff>28575</xdr:rowOff>
    </xdr:from>
    <xdr:to>
      <xdr:col>9</xdr:col>
      <xdr:colOff>0</xdr:colOff>
      <xdr:row>43</xdr:row>
      <xdr:rowOff>561975</xdr:rowOff>
    </xdr:to>
    <xdr:sp macro="" textlink="">
      <xdr:nvSpPr>
        <xdr:cNvPr id="34" name="Double Bracket 33"/>
        <xdr:cNvSpPr/>
      </xdr:nvSpPr>
      <xdr:spPr>
        <a:xfrm>
          <a:off x="7639050" y="9220200"/>
          <a:ext cx="6191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43</xdr:row>
      <xdr:rowOff>19050</xdr:rowOff>
    </xdr:from>
    <xdr:to>
      <xdr:col>10</xdr:col>
      <xdr:colOff>628650</xdr:colOff>
      <xdr:row>43</xdr:row>
      <xdr:rowOff>552450</xdr:rowOff>
    </xdr:to>
    <xdr:sp macro="" textlink="">
      <xdr:nvSpPr>
        <xdr:cNvPr id="35" name="Double Bracket 34"/>
        <xdr:cNvSpPr/>
      </xdr:nvSpPr>
      <xdr:spPr>
        <a:xfrm>
          <a:off x="8220075" y="8010525"/>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781050</xdr:colOff>
      <xdr:row>19</xdr:row>
      <xdr:rowOff>38100</xdr:rowOff>
    </xdr:from>
    <xdr:to>
      <xdr:col>4</xdr:col>
      <xdr:colOff>257175</xdr:colOff>
      <xdr:row>20</xdr:row>
      <xdr:rowOff>161925</xdr:rowOff>
    </xdr:to>
    <xdr:sp macro="" textlink="">
      <xdr:nvSpPr>
        <xdr:cNvPr id="2" name="Rounded Rectangle 1"/>
        <xdr:cNvSpPr/>
      </xdr:nvSpPr>
      <xdr:spPr>
        <a:xfrm>
          <a:off x="4095750" y="3819525"/>
          <a:ext cx="1800225" cy="314325"/>
        </a:xfrm>
        <a:prstGeom prst="roundRect">
          <a:avLst/>
        </a:prstGeom>
        <a:solidFill>
          <a:schemeClr val="accent2">
            <a:lumMod val="60000"/>
            <a:lumOff val="40000"/>
          </a:schemeClr>
        </a:solidFill>
        <a:ln w="12700">
          <a:solidFill>
            <a:schemeClr val="tx1"/>
          </a:solidFill>
        </a:ln>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895350</xdr:colOff>
      <xdr:row>19</xdr:row>
      <xdr:rowOff>95250</xdr:rowOff>
    </xdr:from>
    <xdr:to>
      <xdr:col>4</xdr:col>
      <xdr:colOff>123825</xdr:colOff>
      <xdr:row>20</xdr:row>
      <xdr:rowOff>95250</xdr:rowOff>
    </xdr:to>
    <xdr:sp macro="" textlink="">
      <xdr:nvSpPr>
        <xdr:cNvPr id="3" name="TextBox 2">
          <a:hlinkClick xmlns:r="http://schemas.openxmlformats.org/officeDocument/2006/relationships" r:id="rId1"/>
        </xdr:cNvPr>
        <xdr:cNvSpPr txBox="1"/>
      </xdr:nvSpPr>
      <xdr:spPr>
        <a:xfrm>
          <a:off x="4210050" y="3876675"/>
          <a:ext cx="1552575" cy="190500"/>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Click to Hide Fee Detail</a:t>
          </a:r>
        </a:p>
      </xdr:txBody>
    </xdr:sp>
    <xdr:clientData/>
  </xdr:twoCellAnchor>
  <xdr:twoCellAnchor>
    <xdr:from>
      <xdr:col>8</xdr:col>
      <xdr:colOff>28575</xdr:colOff>
      <xdr:row>21</xdr:row>
      <xdr:rowOff>38100</xdr:rowOff>
    </xdr:from>
    <xdr:to>
      <xdr:col>8</xdr:col>
      <xdr:colOff>704850</xdr:colOff>
      <xdr:row>22</xdr:row>
      <xdr:rowOff>0</xdr:rowOff>
    </xdr:to>
    <xdr:sp macro="" textlink="">
      <xdr:nvSpPr>
        <xdr:cNvPr id="4" name="Double Bracket 3"/>
        <xdr:cNvSpPr/>
      </xdr:nvSpPr>
      <xdr:spPr>
        <a:xfrm>
          <a:off x="7639050" y="4200525"/>
          <a:ext cx="6191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21</xdr:row>
      <xdr:rowOff>19050</xdr:rowOff>
    </xdr:from>
    <xdr:to>
      <xdr:col>10</xdr:col>
      <xdr:colOff>628650</xdr:colOff>
      <xdr:row>21</xdr:row>
      <xdr:rowOff>552450</xdr:rowOff>
    </xdr:to>
    <xdr:sp macro="" textlink="">
      <xdr:nvSpPr>
        <xdr:cNvPr id="5" name="Double Bracket 4"/>
        <xdr:cNvSpPr/>
      </xdr:nvSpPr>
      <xdr:spPr>
        <a:xfrm>
          <a:off x="8543925" y="4181475"/>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8</xdr:col>
      <xdr:colOff>28575</xdr:colOff>
      <xdr:row>26</xdr:row>
      <xdr:rowOff>38100</xdr:rowOff>
    </xdr:from>
    <xdr:to>
      <xdr:col>8</xdr:col>
      <xdr:colOff>704850</xdr:colOff>
      <xdr:row>27</xdr:row>
      <xdr:rowOff>0</xdr:rowOff>
    </xdr:to>
    <xdr:sp macro="" textlink="">
      <xdr:nvSpPr>
        <xdr:cNvPr id="6" name="Double Bracket 5"/>
        <xdr:cNvSpPr/>
      </xdr:nvSpPr>
      <xdr:spPr>
        <a:xfrm>
          <a:off x="7639050" y="5543550"/>
          <a:ext cx="6191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26</xdr:row>
      <xdr:rowOff>19050</xdr:rowOff>
    </xdr:from>
    <xdr:to>
      <xdr:col>10</xdr:col>
      <xdr:colOff>628650</xdr:colOff>
      <xdr:row>26</xdr:row>
      <xdr:rowOff>552450</xdr:rowOff>
    </xdr:to>
    <xdr:sp macro="" textlink="">
      <xdr:nvSpPr>
        <xdr:cNvPr id="7" name="Double Bracket 6"/>
        <xdr:cNvSpPr/>
      </xdr:nvSpPr>
      <xdr:spPr>
        <a:xfrm>
          <a:off x="8543925" y="5524500"/>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8</xdr:col>
      <xdr:colOff>28575</xdr:colOff>
      <xdr:row>31</xdr:row>
      <xdr:rowOff>38100</xdr:rowOff>
    </xdr:from>
    <xdr:to>
      <xdr:col>8</xdr:col>
      <xdr:colOff>704850</xdr:colOff>
      <xdr:row>32</xdr:row>
      <xdr:rowOff>0</xdr:rowOff>
    </xdr:to>
    <xdr:sp macro="" textlink="">
      <xdr:nvSpPr>
        <xdr:cNvPr id="8" name="Double Bracket 7"/>
        <xdr:cNvSpPr/>
      </xdr:nvSpPr>
      <xdr:spPr>
        <a:xfrm>
          <a:off x="7639050" y="6886575"/>
          <a:ext cx="619125"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10</xdr:col>
      <xdr:colOff>57150</xdr:colOff>
      <xdr:row>31</xdr:row>
      <xdr:rowOff>19050</xdr:rowOff>
    </xdr:from>
    <xdr:to>
      <xdr:col>10</xdr:col>
      <xdr:colOff>628650</xdr:colOff>
      <xdr:row>31</xdr:row>
      <xdr:rowOff>552450</xdr:rowOff>
    </xdr:to>
    <xdr:sp macro="" textlink="">
      <xdr:nvSpPr>
        <xdr:cNvPr id="9" name="Double Bracket 8"/>
        <xdr:cNvSpPr/>
      </xdr:nvSpPr>
      <xdr:spPr>
        <a:xfrm>
          <a:off x="8543925" y="6867525"/>
          <a:ext cx="57150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5</xdr:col>
      <xdr:colOff>142875</xdr:colOff>
      <xdr:row>20</xdr:row>
      <xdr:rowOff>180975</xdr:rowOff>
    </xdr:from>
    <xdr:to>
      <xdr:col>11</xdr:col>
      <xdr:colOff>14288</xdr:colOff>
      <xdr:row>34</xdr:row>
      <xdr:rowOff>57149</xdr:rowOff>
    </xdr:to>
    <xdr:sp macro="" textlink="">
      <xdr:nvSpPr>
        <xdr:cNvPr id="10" name="Double Bracket 9"/>
        <xdr:cNvSpPr/>
      </xdr:nvSpPr>
      <xdr:spPr>
        <a:xfrm>
          <a:off x="6629400" y="1000125"/>
          <a:ext cx="2519363" cy="3714749"/>
        </a:xfrm>
        <a:prstGeom prst="bracketPair">
          <a:avLst>
            <a:gd name="adj" fmla="val 7034"/>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Right="0"/>
    <pageSetUpPr fitToPage="1"/>
  </sheetPr>
  <dimension ref="A1:U62"/>
  <sheetViews>
    <sheetView showGridLines="0" tabSelected="1" topLeftCell="A10" zoomScaleNormal="100" workbookViewId="0">
      <selection activeCell="E21" sqref="E21"/>
    </sheetView>
  </sheetViews>
  <sheetFormatPr defaultColWidth="9.1796875" defaultRowHeight="14.5" x14ac:dyDescent="0.35"/>
  <cols>
    <col min="1" max="1" width="35.453125" style="4" customWidth="1"/>
    <col min="2" max="2" width="14.26953125" style="4" customWidth="1"/>
    <col min="3" max="3" width="14.1796875" style="4" customWidth="1"/>
    <col min="4" max="4" width="20.7265625" style="4" customWidth="1"/>
    <col min="5" max="5" width="12.7265625" style="4" customWidth="1"/>
    <col min="6" max="6" width="2.26953125" style="4" customWidth="1"/>
    <col min="7" max="7" width="9.81640625" style="4" hidden="1" customWidth="1"/>
    <col min="8" max="8" width="3.453125" style="4" hidden="1" customWidth="1"/>
    <col min="9" max="9" width="9.26953125" style="4" hidden="1" customWidth="1"/>
    <col min="10" max="10" width="3.453125" style="4" hidden="1" customWidth="1"/>
    <col min="11" max="11" width="9.7265625" style="4" hidden="1" customWidth="1"/>
    <col min="12" max="12" width="15.26953125" style="92" bestFit="1" customWidth="1"/>
    <col min="13" max="13" width="11.81640625" style="4" customWidth="1"/>
    <col min="14" max="14" width="13.26953125" style="4" bestFit="1" customWidth="1"/>
    <col min="15" max="16384" width="9.1796875" style="4"/>
  </cols>
  <sheetData>
    <row r="1" spans="1:16" customFormat="1" ht="21" x14ac:dyDescent="0.5">
      <c r="A1" s="134" t="s">
        <v>12</v>
      </c>
      <c r="L1" s="85"/>
    </row>
    <row r="2" spans="1:16" customFormat="1" ht="10.5" customHeight="1" x14ac:dyDescent="0.5">
      <c r="A2" s="134"/>
      <c r="L2" s="85"/>
    </row>
    <row r="3" spans="1:16" customFormat="1" ht="18.5" x14ac:dyDescent="0.45">
      <c r="A3" s="135" t="s">
        <v>45</v>
      </c>
      <c r="B3" s="136"/>
      <c r="C3" s="136"/>
      <c r="D3" s="136"/>
      <c r="E3" s="136"/>
      <c r="F3" s="136"/>
      <c r="G3" s="136"/>
      <c r="H3" s="136"/>
      <c r="I3" s="136"/>
      <c r="J3" s="136"/>
      <c r="K3" s="136"/>
      <c r="L3" s="137"/>
      <c r="M3" s="136"/>
    </row>
    <row r="4" spans="1:16" customFormat="1" ht="18.5" x14ac:dyDescent="0.45">
      <c r="A4" s="140" t="s">
        <v>52</v>
      </c>
      <c r="B4" s="136"/>
      <c r="C4" s="136"/>
      <c r="D4" s="136"/>
      <c r="E4" s="136"/>
      <c r="F4" s="136"/>
      <c r="G4" s="136"/>
      <c r="H4" s="136"/>
      <c r="I4" s="136"/>
      <c r="J4" s="136"/>
      <c r="K4" s="136"/>
      <c r="L4" s="137"/>
      <c r="M4" s="136"/>
    </row>
    <row r="5" spans="1:16" customFormat="1" ht="18.5" x14ac:dyDescent="0.45">
      <c r="A5" s="135" t="s">
        <v>46</v>
      </c>
      <c r="B5" s="136"/>
      <c r="C5" s="136"/>
      <c r="D5" s="136"/>
      <c r="E5" s="136"/>
      <c r="F5" s="136"/>
      <c r="G5" s="136"/>
      <c r="H5" s="136"/>
      <c r="I5" s="136"/>
      <c r="J5" s="136"/>
      <c r="K5" s="136"/>
      <c r="L5" s="137"/>
      <c r="M5" s="136"/>
    </row>
    <row r="6" spans="1:16" customFormat="1" ht="18.5" x14ac:dyDescent="0.45">
      <c r="A6" s="135" t="s">
        <v>53</v>
      </c>
      <c r="B6" s="136"/>
      <c r="C6" s="136"/>
      <c r="D6" s="136"/>
      <c r="E6" s="136"/>
      <c r="F6" s="136"/>
      <c r="G6" s="136"/>
      <c r="H6" s="136"/>
      <c r="I6" s="136"/>
      <c r="J6" s="136"/>
      <c r="K6" s="136"/>
      <c r="L6" s="137"/>
      <c r="M6" s="136"/>
    </row>
    <row r="7" spans="1:16" customFormat="1" ht="8.25" customHeight="1" x14ac:dyDescent="0.45">
      <c r="A7" s="135"/>
      <c r="B7" s="136"/>
      <c r="C7" s="136"/>
      <c r="D7" s="136"/>
      <c r="E7" s="136"/>
      <c r="F7" s="136"/>
      <c r="G7" s="136"/>
      <c r="H7" s="136"/>
      <c r="I7" s="136"/>
      <c r="J7" s="136"/>
      <c r="K7" s="136"/>
      <c r="L7" s="137"/>
      <c r="M7" s="136"/>
    </row>
    <row r="8" spans="1:16" customFormat="1" ht="18.5" x14ac:dyDescent="0.45">
      <c r="A8" s="135" t="s">
        <v>47</v>
      </c>
      <c r="B8" s="136"/>
      <c r="C8" s="136"/>
      <c r="D8" s="136"/>
      <c r="E8" s="136"/>
      <c r="F8" s="136"/>
      <c r="G8" s="136"/>
      <c r="H8" s="136"/>
      <c r="I8" s="136"/>
      <c r="J8" s="136"/>
      <c r="K8" s="136"/>
      <c r="L8" s="137"/>
      <c r="M8" s="136"/>
    </row>
    <row r="9" spans="1:16" customFormat="1" ht="18.5" x14ac:dyDescent="0.45">
      <c r="A9" s="135" t="s">
        <v>50</v>
      </c>
      <c r="B9" s="136"/>
      <c r="C9" s="136"/>
      <c r="D9" s="136"/>
      <c r="E9" s="136"/>
      <c r="F9" s="136"/>
      <c r="G9" s="136"/>
      <c r="H9" s="136"/>
      <c r="I9" s="136"/>
      <c r="J9" s="136"/>
      <c r="K9" s="136"/>
      <c r="L9" s="137"/>
      <c r="M9" s="136"/>
    </row>
    <row r="10" spans="1:16" customFormat="1" ht="18.5" x14ac:dyDescent="0.45">
      <c r="A10" s="135" t="s">
        <v>51</v>
      </c>
      <c r="B10" s="136"/>
      <c r="C10" s="136"/>
      <c r="D10" s="136"/>
      <c r="E10" s="136"/>
      <c r="F10" s="136"/>
      <c r="G10" s="136"/>
      <c r="H10" s="136"/>
      <c r="I10" s="136"/>
      <c r="J10" s="136"/>
      <c r="K10" s="136"/>
      <c r="L10" s="137"/>
      <c r="M10" s="136"/>
    </row>
    <row r="11" spans="1:16" customFormat="1" ht="8.25" customHeight="1" x14ac:dyDescent="0.45">
      <c r="A11" s="135"/>
      <c r="B11" s="136"/>
      <c r="C11" s="136"/>
      <c r="D11" s="136"/>
      <c r="E11" s="136"/>
      <c r="F11" s="136"/>
      <c r="G11" s="136"/>
      <c r="H11" s="136"/>
      <c r="I11" s="136"/>
      <c r="J11" s="136"/>
      <c r="K11" s="136"/>
      <c r="L11" s="137"/>
      <c r="M11" s="136"/>
    </row>
    <row r="12" spans="1:16" customFormat="1" ht="18.5" x14ac:dyDescent="0.45">
      <c r="A12" s="135" t="s">
        <v>48</v>
      </c>
      <c r="B12" s="136"/>
      <c r="C12" s="136"/>
      <c r="D12" s="136"/>
      <c r="E12" s="136"/>
      <c r="F12" s="136"/>
      <c r="G12" s="136"/>
      <c r="H12" s="136"/>
      <c r="I12" s="136"/>
      <c r="J12" s="136"/>
      <c r="K12" s="136"/>
      <c r="L12" s="137"/>
      <c r="M12" s="136"/>
    </row>
    <row r="13" spans="1:16" customFormat="1" ht="18.5" x14ac:dyDescent="0.45">
      <c r="A13" s="135" t="s">
        <v>49</v>
      </c>
      <c r="B13" s="136"/>
      <c r="C13" s="136"/>
      <c r="D13" s="136"/>
      <c r="E13" s="136"/>
      <c r="F13" s="136"/>
      <c r="G13" s="136"/>
      <c r="H13" s="136"/>
      <c r="I13" s="136"/>
      <c r="J13" s="136"/>
      <c r="K13" s="136"/>
      <c r="L13" s="137"/>
      <c r="M13" s="136"/>
    </row>
    <row r="14" spans="1:16" customFormat="1" ht="11.25" customHeight="1" x14ac:dyDescent="0.45">
      <c r="A14" s="3"/>
      <c r="L14" s="85"/>
    </row>
    <row r="15" spans="1:16" customFormat="1" ht="16" thickBot="1" x14ac:dyDescent="0.4">
      <c r="A15" s="112" t="s">
        <v>18</v>
      </c>
      <c r="L15" s="85"/>
    </row>
    <row r="16" spans="1:16" customFormat="1" x14ac:dyDescent="0.35">
      <c r="A16" s="41"/>
      <c r="B16" s="18"/>
      <c r="C16" s="18"/>
      <c r="D16" s="18"/>
      <c r="E16" s="18"/>
      <c r="F16" s="19"/>
      <c r="G16" s="16"/>
      <c r="H16" s="16"/>
      <c r="I16" s="16"/>
      <c r="J16" s="16"/>
      <c r="K16" s="16"/>
      <c r="L16" s="86"/>
      <c r="M16" s="16"/>
      <c r="N16" s="16"/>
      <c r="O16" s="16"/>
      <c r="P16" s="16"/>
    </row>
    <row r="17" spans="1:21" x14ac:dyDescent="0.35">
      <c r="A17" s="138" t="s">
        <v>41</v>
      </c>
      <c r="B17" s="10"/>
      <c r="C17" s="10"/>
      <c r="D17" s="10"/>
      <c r="E17" s="111"/>
      <c r="F17" s="21"/>
      <c r="G17" s="10"/>
      <c r="H17" s="10"/>
      <c r="I17" s="10"/>
      <c r="J17" s="67"/>
      <c r="K17" s="16"/>
      <c r="L17" s="86"/>
      <c r="M17" s="10"/>
      <c r="N17" s="10"/>
      <c r="O17" s="10"/>
      <c r="P17" s="10"/>
    </row>
    <row r="18" spans="1:21" x14ac:dyDescent="0.35">
      <c r="A18" s="138" t="s">
        <v>44</v>
      </c>
      <c r="B18" s="10"/>
      <c r="C18" s="10"/>
      <c r="D18" s="10"/>
      <c r="E18" s="111"/>
      <c r="F18" s="21"/>
      <c r="G18" s="10"/>
      <c r="H18" s="10"/>
      <c r="I18" s="10"/>
      <c r="J18" s="36"/>
      <c r="K18" s="16"/>
      <c r="L18" s="86"/>
      <c r="M18" s="10"/>
      <c r="N18" s="10"/>
      <c r="O18" s="10"/>
      <c r="P18" s="10"/>
    </row>
    <row r="19" spans="1:21" x14ac:dyDescent="0.35">
      <c r="A19" s="139" t="s">
        <v>42</v>
      </c>
      <c r="B19" s="10"/>
      <c r="C19" s="77"/>
      <c r="D19" s="77"/>
      <c r="E19" s="78">
        <f>SUM(E17:E18)</f>
        <v>0</v>
      </c>
      <c r="F19" s="79"/>
      <c r="G19" s="10"/>
      <c r="H19" s="10"/>
      <c r="I19" s="10"/>
      <c r="J19" s="93"/>
      <c r="K19" s="16"/>
      <c r="L19" s="86"/>
      <c r="M19" s="77"/>
      <c r="N19" s="77"/>
      <c r="O19" s="77"/>
      <c r="P19" s="77"/>
      <c r="Q19" s="80"/>
      <c r="R19" s="80"/>
      <c r="S19" s="80"/>
      <c r="T19" s="80"/>
      <c r="U19" s="80"/>
    </row>
    <row r="20" spans="1:21" x14ac:dyDescent="0.35">
      <c r="A20" s="14"/>
      <c r="B20" s="10"/>
      <c r="C20" s="10"/>
      <c r="D20" s="10"/>
      <c r="E20" s="10"/>
      <c r="F20" s="21"/>
      <c r="G20" s="10"/>
      <c r="H20" s="10"/>
      <c r="I20" s="10"/>
      <c r="J20" s="36"/>
      <c r="K20" s="16"/>
      <c r="L20" s="86"/>
      <c r="M20" s="10"/>
      <c r="N20" s="10"/>
      <c r="O20" s="10"/>
      <c r="P20" s="10"/>
    </row>
    <row r="21" spans="1:21" x14ac:dyDescent="0.35">
      <c r="A21" s="138" t="s">
        <v>43</v>
      </c>
      <c r="B21" s="10"/>
      <c r="C21" s="10"/>
      <c r="D21" s="10"/>
      <c r="E21" s="111"/>
      <c r="F21" s="21"/>
      <c r="G21" s="10"/>
      <c r="H21" s="10"/>
      <c r="I21" s="10"/>
      <c r="J21" s="36"/>
      <c r="K21" s="16"/>
      <c r="L21" s="88"/>
      <c r="M21" s="10"/>
      <c r="N21" s="10"/>
      <c r="O21" s="10"/>
      <c r="P21" s="10"/>
    </row>
    <row r="22" spans="1:21" ht="15" thickBot="1" x14ac:dyDescent="0.4">
      <c r="A22" s="32"/>
      <c r="B22" s="42"/>
      <c r="C22" s="29"/>
      <c r="D22" s="29"/>
      <c r="E22" s="29"/>
      <c r="F22" s="30"/>
      <c r="G22" s="10"/>
      <c r="H22" s="10"/>
      <c r="I22" s="10"/>
      <c r="J22" s="36"/>
      <c r="K22" s="16"/>
      <c r="L22" s="86"/>
      <c r="M22" s="10"/>
      <c r="N22" s="10"/>
      <c r="O22" s="10"/>
      <c r="P22" s="10"/>
    </row>
    <row r="23" spans="1:21" ht="12.75" customHeight="1" x14ac:dyDescent="0.35">
      <c r="A23" s="43"/>
      <c r="B23" s="44"/>
      <c r="C23" s="43"/>
      <c r="D23" s="43"/>
      <c r="E23" s="43"/>
      <c r="F23" s="43"/>
      <c r="G23" s="10"/>
      <c r="H23" s="10"/>
      <c r="I23" s="10"/>
      <c r="J23" s="36"/>
      <c r="K23" s="16"/>
      <c r="L23" s="86"/>
      <c r="M23" s="10"/>
      <c r="N23" s="10"/>
      <c r="O23" s="10"/>
      <c r="P23" s="10"/>
    </row>
    <row r="24" spans="1:21" ht="16" thickBot="1" x14ac:dyDescent="0.4">
      <c r="A24" s="46" t="s">
        <v>27</v>
      </c>
      <c r="B24" s="39"/>
      <c r="C24" s="10"/>
      <c r="D24" s="10"/>
      <c r="E24" s="10"/>
      <c r="F24" s="10"/>
      <c r="G24" s="10"/>
      <c r="H24" s="10"/>
      <c r="I24" s="10"/>
      <c r="J24" s="36"/>
      <c r="K24" s="16"/>
      <c r="L24" s="86"/>
      <c r="M24" s="10"/>
      <c r="N24" s="10"/>
      <c r="O24" s="10"/>
      <c r="P24" s="10"/>
    </row>
    <row r="25" spans="1:21" x14ac:dyDescent="0.35">
      <c r="A25" s="17"/>
      <c r="B25" s="18"/>
      <c r="C25" s="43"/>
      <c r="D25" s="43"/>
      <c r="E25" s="43"/>
      <c r="F25" s="43"/>
      <c r="G25" s="43"/>
      <c r="H25" s="43"/>
      <c r="I25" s="43"/>
      <c r="J25" s="128"/>
      <c r="K25" s="18"/>
      <c r="L25" s="129"/>
      <c r="M25" s="10"/>
      <c r="N25" s="10"/>
      <c r="O25" s="10"/>
      <c r="P25" s="10"/>
    </row>
    <row r="26" spans="1:21" x14ac:dyDescent="0.35">
      <c r="A26" s="15" t="s">
        <v>7</v>
      </c>
      <c r="B26" s="10"/>
      <c r="C26" s="10"/>
      <c r="D26" s="10"/>
      <c r="E26" s="10"/>
      <c r="F26" s="10"/>
      <c r="G26" s="10"/>
      <c r="H26" s="10"/>
      <c r="I26" s="10"/>
      <c r="J26" s="10"/>
      <c r="K26" s="10"/>
      <c r="L26" s="90"/>
      <c r="M26" s="10"/>
      <c r="N26" s="10"/>
      <c r="O26" s="10"/>
      <c r="P26" s="10"/>
    </row>
    <row r="27" spans="1:21" customFormat="1" x14ac:dyDescent="0.35">
      <c r="A27" s="14" t="s">
        <v>54</v>
      </c>
      <c r="B27" s="16"/>
      <c r="C27" s="10"/>
      <c r="D27" s="10"/>
      <c r="E27" s="133" t="str">
        <f>IF(E21=0,"Enter Historic Benchmark above",E21*0.6)</f>
        <v>Enter Historic Benchmark above</v>
      </c>
      <c r="F27" s="127"/>
      <c r="G27" s="127"/>
      <c r="H27" s="127"/>
      <c r="I27" s="127"/>
      <c r="J27" s="127"/>
      <c r="K27" s="127"/>
      <c r="L27" s="132"/>
      <c r="M27" s="16"/>
      <c r="N27" s="13"/>
      <c r="O27" s="16"/>
      <c r="P27" s="16"/>
    </row>
    <row r="28" spans="1:21" customFormat="1" ht="15" thickBot="1" x14ac:dyDescent="0.4">
      <c r="A28" s="96"/>
      <c r="B28" s="29"/>
      <c r="C28" s="29"/>
      <c r="D28" s="29"/>
      <c r="E28" s="48"/>
      <c r="F28" s="29"/>
      <c r="G28" s="29"/>
      <c r="H28" s="29"/>
      <c r="I28" s="29"/>
      <c r="J28" s="29"/>
      <c r="K28" s="130"/>
      <c r="L28" s="131"/>
      <c r="M28" s="16"/>
      <c r="N28" s="16"/>
      <c r="O28" s="23"/>
      <c r="P28" s="23"/>
    </row>
    <row r="29" spans="1:21" customFormat="1" ht="12" customHeight="1" x14ac:dyDescent="0.35">
      <c r="A29" s="16"/>
      <c r="B29" s="10"/>
      <c r="C29" s="10"/>
      <c r="D29" s="10"/>
      <c r="E29" s="36"/>
      <c r="F29" s="10"/>
      <c r="G29" s="10"/>
      <c r="H29" s="10"/>
      <c r="I29" s="10"/>
      <c r="J29" s="10"/>
      <c r="K29" s="16"/>
      <c r="L29" s="88"/>
      <c r="M29" s="16"/>
      <c r="N29" s="16"/>
      <c r="O29" s="23"/>
      <c r="P29" s="23"/>
    </row>
    <row r="30" spans="1:21" customFormat="1" ht="15" customHeight="1" x14ac:dyDescent="0.35">
      <c r="A30" s="1" t="s">
        <v>16</v>
      </c>
      <c r="B30" s="1"/>
      <c r="C30" s="1"/>
      <c r="D30" s="1"/>
      <c r="E30" s="1"/>
      <c r="F30" s="1"/>
      <c r="G30" s="69"/>
      <c r="H30" s="69"/>
      <c r="I30" s="69"/>
      <c r="J30" s="69"/>
      <c r="K30" s="16"/>
      <c r="L30" s="88"/>
      <c r="M30" s="16"/>
      <c r="N30" s="16"/>
      <c r="O30" s="23"/>
      <c r="P30" s="23"/>
    </row>
    <row r="31" spans="1:21" customFormat="1" ht="15.75" customHeight="1" thickBot="1" x14ac:dyDescent="0.4">
      <c r="A31" s="2"/>
      <c r="B31" s="2"/>
      <c r="C31" s="2"/>
      <c r="D31" s="2"/>
      <c r="E31" s="2"/>
      <c r="F31" s="2"/>
      <c r="G31" s="70"/>
      <c r="H31" s="70"/>
      <c r="I31" s="70"/>
      <c r="J31" s="70"/>
      <c r="K31" s="16"/>
      <c r="L31" s="88"/>
      <c r="M31" s="16"/>
      <c r="N31" s="16"/>
      <c r="O31" s="23"/>
      <c r="P31" s="23"/>
    </row>
    <row r="32" spans="1:21" x14ac:dyDescent="0.35">
      <c r="A32" s="17"/>
      <c r="B32" s="43"/>
      <c r="C32" s="43"/>
      <c r="D32" s="95"/>
      <c r="E32" s="43"/>
      <c r="G32" s="43"/>
      <c r="H32" s="43"/>
      <c r="I32" s="43"/>
      <c r="J32" s="43"/>
      <c r="K32" s="43"/>
      <c r="L32" s="89"/>
      <c r="P32" s="10"/>
    </row>
    <row r="33" spans="1:21" x14ac:dyDescent="0.35">
      <c r="A33" s="15"/>
      <c r="B33" s="10"/>
      <c r="C33" s="10"/>
      <c r="D33" s="10"/>
      <c r="E33" s="10"/>
      <c r="G33" s="10"/>
      <c r="H33" s="10"/>
      <c r="I33" s="10"/>
      <c r="J33" s="10"/>
      <c r="K33" s="10"/>
      <c r="L33" s="90"/>
      <c r="P33" s="10"/>
    </row>
    <row r="34" spans="1:21" s="64" customFormat="1" ht="43.5" x14ac:dyDescent="0.35">
      <c r="A34" s="58" t="s">
        <v>2</v>
      </c>
      <c r="B34" s="59" t="s">
        <v>14</v>
      </c>
      <c r="C34" s="60" t="s">
        <v>13</v>
      </c>
      <c r="D34" s="61" t="s">
        <v>15</v>
      </c>
      <c r="E34" s="62" t="s">
        <v>22</v>
      </c>
      <c r="F34" s="63" t="s">
        <v>20</v>
      </c>
      <c r="G34" s="73" t="s">
        <v>30</v>
      </c>
      <c r="H34" s="71" t="s">
        <v>21</v>
      </c>
      <c r="I34" s="72" t="s">
        <v>10</v>
      </c>
      <c r="J34" s="73" t="s">
        <v>21</v>
      </c>
      <c r="K34" s="72" t="s">
        <v>11</v>
      </c>
      <c r="L34" s="91" t="s">
        <v>8</v>
      </c>
    </row>
    <row r="35" spans="1:21" x14ac:dyDescent="0.35">
      <c r="A35" s="24">
        <f>IF(D35&gt;0,"Tier 1 Pre-incentive Fee",0)</f>
        <v>0</v>
      </c>
      <c r="B35" s="34" t="str">
        <f>IF((E17+E18)=0,"",IF(E21=0,"",1))</f>
        <v/>
      </c>
      <c r="C35" s="11">
        <f>D35</f>
        <v>0</v>
      </c>
      <c r="D35" s="8">
        <f>IF(E21=0,0,(Sheet2!M3-Sheet2!P3))</f>
        <v>0</v>
      </c>
      <c r="E35" s="113">
        <f>IF(D35&gt;0,0.82,0)</f>
        <v>0</v>
      </c>
      <c r="F35" s="113"/>
      <c r="G35" s="114">
        <v>0.82</v>
      </c>
      <c r="H35" s="114"/>
      <c r="I35" s="114"/>
      <c r="J35" s="114"/>
      <c r="K35" s="114"/>
      <c r="L35" s="150">
        <f>E35*D35</f>
        <v>0</v>
      </c>
    </row>
    <row r="36" spans="1:21" ht="15" thickBot="1" x14ac:dyDescent="0.4">
      <c r="A36" s="24">
        <f>IF(D36&gt;0,"Tier 1 Incentive Discount",0)</f>
        <v>0</v>
      </c>
      <c r="B36" s="35" t="str">
        <f>IF(D36&gt;0,C35+1,"")</f>
        <v/>
      </c>
      <c r="C36" s="12" t="str">
        <f>IF(D36&gt;0,D35+D36,"")</f>
        <v/>
      </c>
      <c r="D36" s="8">
        <f>Sheet2!P3</f>
        <v>0</v>
      </c>
      <c r="E36" s="113">
        <f>IF(D36&gt;0,0.82*0.2,0)</f>
        <v>0</v>
      </c>
      <c r="F36" s="113"/>
      <c r="G36" s="114">
        <v>0.82</v>
      </c>
      <c r="H36" s="114"/>
      <c r="I36" s="114"/>
      <c r="J36" s="114"/>
      <c r="K36" s="114">
        <f>IF(D36&gt;0,-0.8*0.82,0)</f>
        <v>0</v>
      </c>
      <c r="L36" s="150">
        <f>E36*D36</f>
        <v>0</v>
      </c>
    </row>
    <row r="37" spans="1:21" ht="15" customHeight="1" thickTop="1" x14ac:dyDescent="0.35">
      <c r="A37" s="81" t="str">
        <f>IF(D37&gt;0,"Total Tier 1 Volume","")</f>
        <v/>
      </c>
      <c r="B37" s="82"/>
      <c r="C37" s="82"/>
      <c r="D37" s="83">
        <f>SUM(D35:D36)</f>
        <v>0</v>
      </c>
      <c r="E37" s="115"/>
      <c r="F37" s="115"/>
      <c r="G37" s="116"/>
      <c r="H37" s="116"/>
      <c r="I37" s="116"/>
      <c r="J37" s="116"/>
      <c r="K37" s="116"/>
      <c r="L37" s="151"/>
      <c r="M37" s="80"/>
      <c r="N37" s="80"/>
      <c r="O37" s="80"/>
      <c r="P37" s="80"/>
      <c r="Q37" s="80"/>
      <c r="R37" s="80"/>
      <c r="S37" s="80"/>
      <c r="T37" s="80"/>
      <c r="U37" s="80"/>
    </row>
    <row r="38" spans="1:21" ht="15" customHeight="1" x14ac:dyDescent="0.35">
      <c r="A38" s="26"/>
      <c r="B38" s="5"/>
      <c r="C38" s="5"/>
      <c r="D38" s="6"/>
      <c r="E38" s="117"/>
      <c r="F38" s="117"/>
      <c r="G38" s="118"/>
      <c r="H38" s="118"/>
      <c r="I38" s="119"/>
      <c r="J38" s="119"/>
      <c r="K38" s="119"/>
      <c r="L38" s="152"/>
    </row>
    <row r="39" spans="1:21" s="64" customFormat="1" ht="43.5" x14ac:dyDescent="0.35">
      <c r="A39" s="58" t="s">
        <v>3</v>
      </c>
      <c r="B39" s="59" t="s">
        <v>14</v>
      </c>
      <c r="C39" s="60" t="s">
        <v>13</v>
      </c>
      <c r="D39" s="61" t="s">
        <v>15</v>
      </c>
      <c r="E39" s="120" t="s">
        <v>22</v>
      </c>
      <c r="F39" s="121" t="s">
        <v>20</v>
      </c>
      <c r="G39" s="122" t="str">
        <f>G34</f>
        <v>Gross fee</v>
      </c>
      <c r="H39" s="123" t="s">
        <v>21</v>
      </c>
      <c r="I39" s="122" t="s">
        <v>10</v>
      </c>
      <c r="J39" s="122" t="s">
        <v>21</v>
      </c>
      <c r="K39" s="122" t="s">
        <v>11</v>
      </c>
      <c r="L39" s="153" t="s">
        <v>8</v>
      </c>
    </row>
    <row r="40" spans="1:21" x14ac:dyDescent="0.35">
      <c r="A40" s="24">
        <f>IF(D40&gt;0,"Tier 2 Pre-incentive Fee",0)</f>
        <v>0</v>
      </c>
      <c r="B40" s="34" t="str">
        <f>IF(D40&gt;0,14001,"")</f>
        <v/>
      </c>
      <c r="C40" s="11" t="str">
        <f>IF(D40&gt;0,D37+D40,"")</f>
        <v/>
      </c>
      <c r="D40" s="8">
        <f>IF(E21=0,0,(Sheet2!K3-Sheet2!Q3))</f>
        <v>0</v>
      </c>
      <c r="E40" s="113">
        <f>IF(D40&gt;0,0.245,0)</f>
        <v>0</v>
      </c>
      <c r="F40" s="113"/>
      <c r="G40" s="114" t="str">
        <f>IF(D40&gt;0,0.82,"")</f>
        <v/>
      </c>
      <c r="H40" s="114"/>
      <c r="I40" s="114">
        <f>IF(D40&gt;0,-0.575,0)</f>
        <v>0</v>
      </c>
      <c r="J40" s="114"/>
      <c r="K40" s="114"/>
      <c r="L40" s="150">
        <f>E40*D40</f>
        <v>0</v>
      </c>
    </row>
    <row r="41" spans="1:21" ht="15" thickBot="1" x14ac:dyDescent="0.4">
      <c r="A41" s="25">
        <f>IF(D41&gt;0,"Tier 2 Incentive Discount",0)</f>
        <v>0</v>
      </c>
      <c r="B41" s="35" t="str">
        <f>IF(D41&gt;0,IF(D40&gt;0,C40+1,14001),"")</f>
        <v/>
      </c>
      <c r="C41" s="12" t="str">
        <f>IF(D41&gt;0,D37+D40+D41,"")</f>
        <v/>
      </c>
      <c r="D41" s="8">
        <f>Sheet2!Q3</f>
        <v>0</v>
      </c>
      <c r="E41" s="113">
        <f>IF(D41&gt;0,0.245*0.2,0)</f>
        <v>0</v>
      </c>
      <c r="F41" s="113"/>
      <c r="G41" s="114" t="str">
        <f>IF(D41&gt;0,0.82,"")</f>
        <v/>
      </c>
      <c r="H41" s="114"/>
      <c r="I41" s="114">
        <f>IF(D41&gt;0,-0.575,0)</f>
        <v>0</v>
      </c>
      <c r="J41" s="114"/>
      <c r="K41" s="114">
        <f>IF(D41&gt;0,-0.8*0.245,0)</f>
        <v>0</v>
      </c>
      <c r="L41" s="150">
        <f>E41*D41</f>
        <v>0</v>
      </c>
    </row>
    <row r="42" spans="1:21" ht="15" customHeight="1" thickTop="1" x14ac:dyDescent="0.35">
      <c r="A42" s="81">
        <f>IF(D42&gt;0,"Total Tier 2 Volume",0)</f>
        <v>0</v>
      </c>
      <c r="B42" s="82"/>
      <c r="C42" s="82"/>
      <c r="D42" s="83">
        <f>SUM(D40:D41)</f>
        <v>0</v>
      </c>
      <c r="E42" s="115"/>
      <c r="F42" s="115"/>
      <c r="G42" s="116"/>
      <c r="H42" s="116"/>
      <c r="I42" s="116"/>
      <c r="J42" s="116"/>
      <c r="K42" s="116"/>
      <c r="L42" s="151"/>
      <c r="M42" s="80"/>
      <c r="N42" s="80"/>
      <c r="O42" s="80"/>
      <c r="P42" s="80"/>
      <c r="Q42" s="80"/>
      <c r="R42" s="80"/>
      <c r="S42" s="80"/>
      <c r="T42" s="80"/>
      <c r="U42" s="80"/>
    </row>
    <row r="43" spans="1:21" ht="15" customHeight="1" x14ac:dyDescent="0.35">
      <c r="A43" s="26"/>
      <c r="B43" s="5"/>
      <c r="C43" s="5"/>
      <c r="D43" s="6"/>
      <c r="E43" s="117"/>
      <c r="F43" s="117"/>
      <c r="G43" s="118"/>
      <c r="H43" s="118"/>
      <c r="I43" s="119"/>
      <c r="J43" s="119"/>
      <c r="K43" s="119"/>
      <c r="L43" s="152"/>
    </row>
    <row r="44" spans="1:21" s="64" customFormat="1" ht="43.5" x14ac:dyDescent="0.35">
      <c r="A44" s="58" t="s">
        <v>4</v>
      </c>
      <c r="B44" s="59" t="s">
        <v>14</v>
      </c>
      <c r="C44" s="60" t="s">
        <v>13</v>
      </c>
      <c r="D44" s="61" t="s">
        <v>15</v>
      </c>
      <c r="E44" s="120" t="s">
        <v>22</v>
      </c>
      <c r="F44" s="121" t="s">
        <v>20</v>
      </c>
      <c r="G44" s="122" t="str">
        <f>G39</f>
        <v>Gross fee</v>
      </c>
      <c r="H44" s="123" t="s">
        <v>21</v>
      </c>
      <c r="I44" s="122" t="s">
        <v>10</v>
      </c>
      <c r="J44" s="122" t="s">
        <v>21</v>
      </c>
      <c r="K44" s="122" t="s">
        <v>11</v>
      </c>
      <c r="L44" s="153" t="s">
        <v>8</v>
      </c>
    </row>
    <row r="45" spans="1:21" x14ac:dyDescent="0.35">
      <c r="A45" s="24">
        <f>IF(D45&gt;0,"Tier 3 Pre-incentive Fee",0)</f>
        <v>0</v>
      </c>
      <c r="B45" s="34" t="str">
        <f>IF(D45&gt;0,90001,"")</f>
        <v/>
      </c>
      <c r="C45" s="11" t="str">
        <f>IF(D45&gt;0,D37+D42+D45,"")</f>
        <v/>
      </c>
      <c r="D45" s="8">
        <f>IF(E21=0,0,(Sheet2!L3-Sheet2!R3))</f>
        <v>0</v>
      </c>
      <c r="E45" s="113">
        <f>IF(D45&gt;0,0.16,0)</f>
        <v>0</v>
      </c>
      <c r="F45" s="113"/>
      <c r="G45" s="114" t="str">
        <f>IF(D45&gt;0,0.82,"")</f>
        <v/>
      </c>
      <c r="H45" s="114"/>
      <c r="I45" s="114">
        <f>IF(D45&gt;0,-0.66,0)</f>
        <v>0</v>
      </c>
      <c r="J45" s="114"/>
      <c r="K45" s="114"/>
      <c r="L45" s="150">
        <f>E45*D45</f>
        <v>0</v>
      </c>
      <c r="N45" s="141"/>
      <c r="O45" s="141"/>
    </row>
    <row r="46" spans="1:21" ht="15" thickBot="1" x14ac:dyDescent="0.4">
      <c r="A46" s="24">
        <f>IF(D46&gt;0,"Tier 3 Incentive Discount",0)</f>
        <v>0</v>
      </c>
      <c r="B46" s="35" t="str">
        <f>IF(D46&gt;0,IF(D45&gt;0,C45+1,90001),"")</f>
        <v/>
      </c>
      <c r="C46" s="12" t="str">
        <f>IF(D46&gt;0,D37+D42+D45+D46,"")</f>
        <v/>
      </c>
      <c r="D46" s="8">
        <f>Sheet2!R3</f>
        <v>0</v>
      </c>
      <c r="E46" s="113">
        <f>IF(D46&gt;0,0.16*0.2,0)</f>
        <v>0</v>
      </c>
      <c r="F46" s="113"/>
      <c r="G46" s="114" t="str">
        <f>IF(D46&gt;0,0.82,"")</f>
        <v/>
      </c>
      <c r="H46" s="114"/>
      <c r="I46" s="114">
        <f>IF(D46&gt;0,-0.66,0)</f>
        <v>0</v>
      </c>
      <c r="J46" s="114"/>
      <c r="K46" s="114">
        <f>IF(D46&gt;0,-0.8*0.16,0)</f>
        <v>0</v>
      </c>
      <c r="L46" s="150">
        <f>E46*D46</f>
        <v>0</v>
      </c>
    </row>
    <row r="47" spans="1:21" ht="15" customHeight="1" thickTop="1" x14ac:dyDescent="0.35">
      <c r="A47" s="81">
        <f>IF(D47&gt;0,"Total Tier 3 Volume",0)</f>
        <v>0</v>
      </c>
      <c r="B47" s="82"/>
      <c r="C47" s="82"/>
      <c r="D47" s="83">
        <f>SUM(D45:D46)</f>
        <v>0</v>
      </c>
      <c r="E47" s="115"/>
      <c r="F47" s="115"/>
      <c r="G47" s="116"/>
      <c r="H47" s="116"/>
      <c r="I47" s="116"/>
      <c r="J47" s="116"/>
      <c r="K47" s="116"/>
      <c r="L47" s="142"/>
      <c r="M47" s="80"/>
      <c r="N47" s="80"/>
      <c r="O47" s="80"/>
      <c r="P47" s="80"/>
      <c r="Q47" s="80"/>
      <c r="R47" s="80"/>
      <c r="S47" s="80"/>
      <c r="T47" s="80"/>
      <c r="U47" s="80"/>
    </row>
    <row r="48" spans="1:21" ht="15" customHeight="1" x14ac:dyDescent="0.35">
      <c r="A48" s="54"/>
      <c r="B48" s="55"/>
      <c r="C48" s="55"/>
      <c r="D48" s="56"/>
      <c r="E48" s="56"/>
      <c r="G48" s="57"/>
      <c r="H48" s="57"/>
      <c r="I48" s="57"/>
      <c r="J48" s="57"/>
      <c r="K48" s="57"/>
      <c r="L48" s="143"/>
      <c r="M48" s="10"/>
      <c r="N48" s="10"/>
      <c r="O48" s="10"/>
      <c r="P48" s="10"/>
    </row>
    <row r="49" spans="1:16" ht="15" customHeight="1" x14ac:dyDescent="0.35">
      <c r="A49" s="52" t="s">
        <v>19</v>
      </c>
      <c r="B49" s="53">
        <f>L35+L36+L40+L41+L45+L46</f>
        <v>0</v>
      </c>
      <c r="C49" s="55"/>
      <c r="D49" s="56"/>
      <c r="E49" s="56"/>
      <c r="G49" s="57"/>
      <c r="H49" s="57"/>
      <c r="I49" s="57"/>
      <c r="J49" s="57"/>
      <c r="K49" s="57"/>
      <c r="L49" s="143"/>
      <c r="M49" s="10"/>
      <c r="N49" s="10"/>
      <c r="O49" s="10"/>
      <c r="P49" s="10"/>
    </row>
    <row r="50" spans="1:16" ht="11.25" customHeight="1" x14ac:dyDescent="0.35">
      <c r="A50" s="26"/>
      <c r="B50" s="6"/>
      <c r="C50" s="7"/>
      <c r="D50" s="7"/>
      <c r="E50" s="7"/>
      <c r="G50" s="10"/>
      <c r="H50" s="10"/>
      <c r="I50" s="10"/>
      <c r="J50" s="10"/>
      <c r="K50" s="10"/>
      <c r="L50" s="144"/>
      <c r="M50" s="10"/>
      <c r="N50" s="10"/>
      <c r="O50" s="10"/>
      <c r="P50" s="10"/>
    </row>
    <row r="51" spans="1:16" ht="15" thickBot="1" x14ac:dyDescent="0.4">
      <c r="A51" s="27" t="s">
        <v>9</v>
      </c>
      <c r="B51" s="28"/>
      <c r="C51" s="28"/>
      <c r="D51" s="154">
        <f>IF(D47&gt;0,IF(D46&gt;0,E46,E45),IF(D42&gt;0,IF(D41&gt;0,E41,E40),IF(D36&gt;0,E36,E35)))</f>
        <v>0</v>
      </c>
      <c r="E51" s="68"/>
      <c r="F51" s="68"/>
      <c r="G51" s="29"/>
      <c r="H51" s="29"/>
      <c r="I51" s="29"/>
      <c r="J51" s="29"/>
      <c r="K51" s="29"/>
      <c r="L51" s="145"/>
      <c r="M51" s="10"/>
      <c r="N51" s="10"/>
      <c r="O51" s="10"/>
      <c r="P51" s="10"/>
    </row>
    <row r="52" spans="1:16" ht="12" customHeight="1" x14ac:dyDescent="0.35">
      <c r="A52" s="49"/>
      <c r="B52" s="49"/>
      <c r="C52" s="49"/>
      <c r="D52" s="50"/>
      <c r="E52" s="10"/>
      <c r="F52" s="10"/>
      <c r="G52" s="10"/>
      <c r="H52" s="10"/>
      <c r="I52" s="10"/>
      <c r="J52" s="10"/>
      <c r="K52" s="10"/>
      <c r="L52" s="87">
        <f>L35+L36+L40+L41+L45+L46</f>
        <v>0</v>
      </c>
      <c r="M52" s="10"/>
      <c r="N52" s="10"/>
      <c r="O52" s="10"/>
      <c r="P52" s="10"/>
    </row>
    <row r="53" spans="1:16" ht="16" thickBot="1" x14ac:dyDescent="0.4">
      <c r="A53" s="46" t="s">
        <v>17</v>
      </c>
      <c r="B53" s="49"/>
      <c r="C53" s="49"/>
      <c r="D53" s="50"/>
      <c r="E53" s="10"/>
      <c r="F53" s="10"/>
      <c r="G53" s="10"/>
      <c r="H53" s="10"/>
      <c r="I53" s="10"/>
      <c r="J53" s="10"/>
      <c r="K53" s="10"/>
      <c r="L53" s="87"/>
      <c r="M53" s="10"/>
      <c r="N53" s="10"/>
      <c r="O53" s="10"/>
      <c r="P53" s="10"/>
    </row>
    <row r="54" spans="1:16" x14ac:dyDescent="0.35">
      <c r="A54" s="31" t="s">
        <v>5</v>
      </c>
      <c r="B54" s="37" t="s">
        <v>0</v>
      </c>
      <c r="C54" s="37" t="s">
        <v>6</v>
      </c>
      <c r="D54" s="38" t="s">
        <v>1</v>
      </c>
    </row>
    <row r="55" spans="1:16" x14ac:dyDescent="0.35">
      <c r="A55" s="22">
        <f>IF(E21=0,0,IF(E17&gt;0,"10021 Gross Origination Volume",""))</f>
        <v>0</v>
      </c>
      <c r="B55" s="13">
        <f>IF(E21=0,0,IF(E17&gt;0,E17,""))</f>
        <v>0</v>
      </c>
      <c r="C55" s="146">
        <f>IF(E21=0,0,IF(E17&gt;0,0.82,""))</f>
        <v>0</v>
      </c>
      <c r="D55" s="148" t="str">
        <f>IF(E17&gt;0,C55*B55,"")</f>
        <v/>
      </c>
    </row>
    <row r="56" spans="1:16" x14ac:dyDescent="0.35">
      <c r="A56" s="22">
        <f>IF(E21=0,0,IF(E18&gt;0,"10022 Gross Receipt Volume",""))</f>
        <v>0</v>
      </c>
      <c r="B56" s="13">
        <f>IF(E21=0,0,IF(E18&gt;0,E18,""))</f>
        <v>0</v>
      </c>
      <c r="C56" s="146">
        <f>IF(E21=0,0,IF(E18&gt;0,0.82,""))</f>
        <v>0</v>
      </c>
      <c r="D56" s="148" t="str">
        <f>IF(E18&gt;0,C56*B56,"")</f>
        <v/>
      </c>
      <c r="G56" s="141"/>
    </row>
    <row r="57" spans="1:16" x14ac:dyDescent="0.35">
      <c r="A57" s="22">
        <f>IF(B57&gt;0,"10023 Tier 2 Pre-incentive",0)</f>
        <v>0</v>
      </c>
      <c r="B57" s="13">
        <f>D42</f>
        <v>0</v>
      </c>
      <c r="C57" s="146">
        <f>IF(B57&gt;0,-0.575,0)</f>
        <v>0</v>
      </c>
      <c r="D57" s="148">
        <f t="shared" ref="D57:D62" si="0">C57*B57</f>
        <v>0</v>
      </c>
      <c r="G57" s="141"/>
    </row>
    <row r="58" spans="1:16" x14ac:dyDescent="0.35">
      <c r="A58" s="22">
        <f>IF(B58&gt;0,"10024 Tier 3 Pre-incentive",0)</f>
        <v>0</v>
      </c>
      <c r="B58" s="13">
        <f>D47</f>
        <v>0</v>
      </c>
      <c r="C58" s="146">
        <f>IF(B58&gt;0,-0.66,0)</f>
        <v>0</v>
      </c>
      <c r="D58" s="148">
        <f t="shared" si="0"/>
        <v>0</v>
      </c>
    </row>
    <row r="59" spans="1:16" x14ac:dyDescent="0.35">
      <c r="A59" s="22" t="s">
        <v>29</v>
      </c>
      <c r="B59" s="13">
        <f>E21</f>
        <v>0</v>
      </c>
      <c r="C59" s="146">
        <v>0</v>
      </c>
      <c r="D59" s="148">
        <f>C59*B59</f>
        <v>0</v>
      </c>
    </row>
    <row r="60" spans="1:16" x14ac:dyDescent="0.35">
      <c r="A60" s="22">
        <f>IF(B60&gt;0,"10026 Incentive Discount",0)</f>
        <v>0</v>
      </c>
      <c r="B60" s="13">
        <f>D36</f>
        <v>0</v>
      </c>
      <c r="C60" s="146">
        <f>IF(B60&gt;0,G36*-0.8,0)</f>
        <v>0</v>
      </c>
      <c r="D60" s="148">
        <f t="shared" si="0"/>
        <v>0</v>
      </c>
    </row>
    <row r="61" spans="1:16" x14ac:dyDescent="0.35">
      <c r="A61" s="22">
        <f>IF(B61&gt;0,"10026 Incentive Discount",0)</f>
        <v>0</v>
      </c>
      <c r="B61" s="13">
        <f>D41</f>
        <v>0</v>
      </c>
      <c r="C61" s="146">
        <f>IF(B61&gt;0,0.245*-0.8,0)</f>
        <v>0</v>
      </c>
      <c r="D61" s="148">
        <f t="shared" si="0"/>
        <v>0</v>
      </c>
    </row>
    <row r="62" spans="1:16" ht="15" thickBot="1" x14ac:dyDescent="0.4">
      <c r="A62" s="32">
        <f>IF(B62&gt;0,"10026 Incentive Discount",0)</f>
        <v>0</v>
      </c>
      <c r="B62" s="33">
        <f>D46</f>
        <v>0</v>
      </c>
      <c r="C62" s="147">
        <f>IF(B62&gt;0,0.16*-0.8,0)</f>
        <v>0</v>
      </c>
      <c r="D62" s="149">
        <f t="shared" si="0"/>
        <v>0</v>
      </c>
    </row>
  </sheetData>
  <sheetProtection password="8325" sheet="1" objects="1" scenarios="1" selectLockedCells="1"/>
  <customSheetViews>
    <customSheetView guid="{3227145B-6A79-44BD-8157-6B92842E392E}" showGridLines="0" fitToPage="1" hiddenColumns="1">
      <selection activeCell="E17" sqref="E17"/>
      <pageMargins left="0.25" right="0.25" top="0.75" bottom="0.75" header="0.3" footer="0.3"/>
      <pageSetup scale="68" orientation="portrait" r:id="rId1"/>
    </customSheetView>
    <customSheetView guid="{9C314016-770F-4388-8EF1-C054F16E9C30}" showGridLines="0" fitToPage="1" hiddenColumns="1">
      <selection activeCell="E17" sqref="E17"/>
      <pageMargins left="0.25" right="0.25" top="0.75" bottom="0.75" header="0.3" footer="0.3"/>
      <pageSetup scale="68" orientation="portrait" r:id="rId2"/>
    </customSheetView>
  </customSheetViews>
  <mergeCells count="1">
    <mergeCell ref="A30:F31"/>
  </mergeCells>
  <conditionalFormatting sqref="A60:D62 A50:B50 E48:E49 G47:H47 A47:B48 C47:D49 A45:L46 A42:C43 A40:L41 A37:C38 D42 A35:L36 B59 A55:D58">
    <cfRule type="cellIs" dxfId="12" priority="79" operator="equal">
      <formula>0</formula>
    </cfRule>
  </conditionalFormatting>
  <conditionalFormatting sqref="D45:L46 D40:L41 G36:K36 L35:L36 D36 E35:F36 G35">
    <cfRule type="cellIs" dxfId="11" priority="32" operator="equal">
      <formula>0</formula>
    </cfRule>
  </conditionalFormatting>
  <conditionalFormatting sqref="E21 E17:E18">
    <cfRule type="cellIs" dxfId="10" priority="10" operator="equal">
      <formula>0</formula>
    </cfRule>
  </conditionalFormatting>
  <pageMargins left="0.25" right="0.25" top="0.75" bottom="0.75" header="0.3" footer="0.3"/>
  <pageSetup scale="62"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applyStyles="1" summaryRight="0"/>
    <pageSetUpPr fitToPage="1"/>
  </sheetPr>
  <dimension ref="A1:AA50"/>
  <sheetViews>
    <sheetView showGridLines="0" zoomScaleNormal="100" workbookViewId="0"/>
  </sheetViews>
  <sheetFormatPr defaultColWidth="9.1796875" defaultRowHeight="14.5" x14ac:dyDescent="0.35"/>
  <cols>
    <col min="1" max="1" width="35.453125" style="4" customWidth="1"/>
    <col min="2" max="2" width="14.26953125" style="4" customWidth="1"/>
    <col min="3" max="3" width="14.1796875" style="4" customWidth="1"/>
    <col min="4" max="4" width="20.7265625" style="4" customWidth="1"/>
    <col min="5" max="5" width="12.7265625" style="4" customWidth="1"/>
    <col min="6" max="6" width="2.26953125" style="4" customWidth="1"/>
    <col min="7" max="7" width="11.1796875" style="4" customWidth="1"/>
    <col min="8" max="8" width="3.453125" style="4" customWidth="1"/>
    <col min="9" max="9" width="9.7265625" style="4" customWidth="1"/>
    <col min="10" max="10" width="3.453125" style="4" customWidth="1"/>
    <col min="11" max="11" width="9.7265625" style="4" customWidth="1"/>
    <col min="12" max="12" width="15.26953125" style="92" bestFit="1" customWidth="1"/>
    <col min="13" max="13" width="12.453125" style="4" customWidth="1"/>
    <col min="14" max="14" width="10.7265625" style="4" customWidth="1"/>
    <col min="15" max="16" width="9.1796875" style="4"/>
    <col min="17" max="21" width="9.1796875" style="4" customWidth="1"/>
    <col min="22" max="16384" width="9.1796875" style="4"/>
  </cols>
  <sheetData>
    <row r="1" spans="1:27" customFormat="1" ht="19" thickBot="1" x14ac:dyDescent="0.5">
      <c r="A1" s="3" t="s">
        <v>12</v>
      </c>
      <c r="L1" s="85"/>
    </row>
    <row r="2" spans="1:27" customFormat="1" ht="18.5" hidden="1" x14ac:dyDescent="0.45">
      <c r="A2" s="3"/>
      <c r="L2" s="85"/>
    </row>
    <row r="3" spans="1:27" customFormat="1" ht="16" hidden="1" thickBot="1" x14ac:dyDescent="0.4">
      <c r="A3" s="46" t="s">
        <v>18</v>
      </c>
      <c r="L3" s="85"/>
    </row>
    <row r="4" spans="1:27" customFormat="1" hidden="1" x14ac:dyDescent="0.35">
      <c r="A4" s="41"/>
      <c r="B4" s="18"/>
      <c r="C4" s="18"/>
      <c r="D4" s="18"/>
      <c r="E4" s="18"/>
      <c r="F4" s="19"/>
      <c r="G4" s="16"/>
      <c r="H4" s="16"/>
      <c r="I4" s="16"/>
      <c r="J4" s="16"/>
      <c r="K4" s="16"/>
      <c r="L4" s="86"/>
      <c r="M4" s="16"/>
      <c r="N4" s="16"/>
      <c r="O4" s="16"/>
      <c r="P4" s="16"/>
    </row>
    <row r="5" spans="1:27" hidden="1" x14ac:dyDescent="0.35">
      <c r="A5" s="20"/>
      <c r="B5" s="16" t="s">
        <v>23</v>
      </c>
      <c r="C5" s="10"/>
      <c r="D5" s="10"/>
      <c r="E5" s="51">
        <f>Explanation!E17</f>
        <v>0</v>
      </c>
      <c r="F5" s="21"/>
      <c r="G5" s="10"/>
      <c r="H5" s="10"/>
      <c r="I5" s="10"/>
      <c r="J5" s="67"/>
      <c r="K5" s="16"/>
      <c r="L5" s="86"/>
      <c r="M5" s="10"/>
      <c r="N5" s="10"/>
      <c r="O5" s="10"/>
      <c r="P5" s="10"/>
    </row>
    <row r="6" spans="1:27" hidden="1" x14ac:dyDescent="0.35">
      <c r="A6" s="22"/>
      <c r="B6" s="16" t="s">
        <v>24</v>
      </c>
      <c r="C6" s="10"/>
      <c r="D6" s="10"/>
      <c r="E6" s="51">
        <f>Explanation!E18</f>
        <v>0</v>
      </c>
      <c r="F6" s="21"/>
      <c r="G6" s="10"/>
      <c r="H6" s="10"/>
      <c r="I6" s="10"/>
      <c r="J6" s="36"/>
      <c r="K6" s="16"/>
      <c r="L6" s="86"/>
      <c r="M6" s="10"/>
      <c r="N6" s="10"/>
      <c r="O6" s="10"/>
      <c r="P6" s="10"/>
    </row>
    <row r="7" spans="1:27" hidden="1" x14ac:dyDescent="0.35">
      <c r="A7" s="75"/>
      <c r="B7" s="76" t="s">
        <v>25</v>
      </c>
      <c r="C7" s="77"/>
      <c r="D7" s="77"/>
      <c r="E7" s="78">
        <f>SUM(E5:E6)</f>
        <v>0</v>
      </c>
      <c r="F7" s="79"/>
      <c r="G7" s="10"/>
      <c r="H7" s="10"/>
      <c r="I7" s="10"/>
      <c r="J7" s="93"/>
      <c r="K7" s="16"/>
      <c r="L7" s="86"/>
      <c r="M7" s="77"/>
      <c r="N7" s="77"/>
      <c r="O7" s="77"/>
      <c r="P7" s="77"/>
      <c r="Q7" s="80"/>
      <c r="R7" s="80"/>
      <c r="S7" s="80"/>
      <c r="T7" s="80"/>
      <c r="U7" s="80"/>
      <c r="V7" s="80"/>
      <c r="W7" s="80"/>
      <c r="X7" s="80"/>
      <c r="Y7" s="80"/>
      <c r="Z7" s="80"/>
      <c r="AA7" s="80"/>
    </row>
    <row r="8" spans="1:27" hidden="1" x14ac:dyDescent="0.35">
      <c r="A8" s="22"/>
      <c r="B8" s="16"/>
      <c r="C8" s="10"/>
      <c r="D8" s="10"/>
      <c r="E8" s="10"/>
      <c r="F8" s="21"/>
      <c r="G8" s="10"/>
      <c r="H8" s="10"/>
      <c r="I8" s="10"/>
      <c r="J8" s="36"/>
      <c r="K8" s="16"/>
      <c r="L8" s="86"/>
      <c r="M8" s="10"/>
      <c r="N8" s="10"/>
      <c r="O8" s="10"/>
      <c r="P8" s="10"/>
    </row>
    <row r="9" spans="1:27" hidden="1" x14ac:dyDescent="0.35">
      <c r="A9" s="22"/>
      <c r="B9" t="s">
        <v>26</v>
      </c>
      <c r="C9" s="10"/>
      <c r="D9" s="10"/>
      <c r="E9" s="51">
        <f>Explanation!E21</f>
        <v>0</v>
      </c>
      <c r="F9" s="21"/>
      <c r="G9" s="10"/>
      <c r="H9" s="10"/>
      <c r="I9" s="10"/>
      <c r="J9" s="36"/>
      <c r="K9" s="16"/>
      <c r="L9" s="86"/>
      <c r="M9" s="10"/>
      <c r="N9" s="10"/>
      <c r="O9" s="10"/>
      <c r="P9" s="10"/>
    </row>
    <row r="10" spans="1:27" ht="15" hidden="1" thickBot="1" x14ac:dyDescent="0.4">
      <c r="A10" s="32"/>
      <c r="B10" s="42"/>
      <c r="C10" s="29"/>
      <c r="D10" s="29"/>
      <c r="E10" s="29"/>
      <c r="F10" s="30"/>
      <c r="G10" s="10"/>
      <c r="H10" s="10"/>
      <c r="I10" s="10"/>
      <c r="J10" s="36"/>
      <c r="K10" s="16"/>
      <c r="L10" s="86"/>
      <c r="M10" s="10"/>
      <c r="N10" s="10"/>
      <c r="O10" s="10"/>
      <c r="P10" s="10"/>
    </row>
    <row r="11" spans="1:27" hidden="1" x14ac:dyDescent="0.35">
      <c r="A11" s="43"/>
      <c r="B11" s="44"/>
      <c r="C11" s="43"/>
      <c r="D11" s="43"/>
      <c r="E11" s="43"/>
      <c r="F11" s="43"/>
      <c r="G11" s="10"/>
      <c r="H11" s="10"/>
      <c r="I11" s="10"/>
      <c r="J11" s="36"/>
      <c r="K11" s="16"/>
      <c r="L11" s="86"/>
      <c r="M11" s="10"/>
      <c r="N11" s="10"/>
      <c r="O11" s="10"/>
      <c r="P11" s="10"/>
    </row>
    <row r="12" spans="1:27" ht="16" hidden="1" thickBot="1" x14ac:dyDescent="0.4">
      <c r="A12" s="46" t="s">
        <v>27</v>
      </c>
      <c r="B12" s="39"/>
      <c r="C12" s="10"/>
      <c r="D12" s="10"/>
      <c r="E12" s="10"/>
      <c r="F12" s="10"/>
      <c r="G12" s="10"/>
      <c r="H12" s="10"/>
      <c r="I12" s="10"/>
      <c r="J12" s="36"/>
      <c r="K12" s="16"/>
      <c r="L12" s="86"/>
      <c r="M12" s="10"/>
      <c r="N12" s="10"/>
      <c r="O12" s="10"/>
      <c r="P12" s="10"/>
    </row>
    <row r="13" spans="1:27" hidden="1" x14ac:dyDescent="0.35">
      <c r="A13" s="17"/>
      <c r="B13" s="18"/>
      <c r="C13" s="43"/>
      <c r="D13" s="43"/>
      <c r="E13" s="43"/>
      <c r="F13" s="47"/>
      <c r="G13" s="10"/>
      <c r="H13" s="10"/>
      <c r="I13" s="10"/>
      <c r="J13" s="67"/>
      <c r="K13" s="16"/>
      <c r="L13" s="86"/>
      <c r="M13" s="10"/>
      <c r="N13" s="10"/>
      <c r="O13" s="10"/>
      <c r="P13" s="10"/>
    </row>
    <row r="14" spans="1:27" hidden="1" x14ac:dyDescent="0.35">
      <c r="A14" s="15" t="s">
        <v>7</v>
      </c>
      <c r="B14" s="10"/>
      <c r="C14" s="10"/>
      <c r="D14" s="10"/>
      <c r="E14" s="10"/>
      <c r="F14" s="21"/>
      <c r="G14" s="10"/>
      <c r="H14" s="10"/>
      <c r="I14" s="10"/>
      <c r="J14" s="10"/>
      <c r="K14" s="10"/>
      <c r="L14" s="87"/>
      <c r="M14" s="10"/>
      <c r="N14" s="10"/>
      <c r="O14" s="10"/>
      <c r="P14" s="10"/>
    </row>
    <row r="15" spans="1:27" customFormat="1" hidden="1" x14ac:dyDescent="0.35">
      <c r="A15" s="14" t="s">
        <v>28</v>
      </c>
      <c r="B15" s="16"/>
      <c r="C15" s="4"/>
      <c r="D15" s="4"/>
      <c r="E15" s="40" t="str">
        <f>Explanation!E27</f>
        <v>Enter Historic Benchmark above</v>
      </c>
      <c r="F15" s="21"/>
      <c r="G15" s="10"/>
      <c r="H15" s="10"/>
      <c r="I15" s="10"/>
      <c r="J15" s="10"/>
      <c r="K15" s="16"/>
      <c r="L15" s="86"/>
      <c r="M15" s="16"/>
      <c r="N15" s="13"/>
      <c r="O15" s="16"/>
      <c r="P15" s="16"/>
    </row>
    <row r="16" spans="1:27" customFormat="1" ht="15" hidden="1" thickBot="1" x14ac:dyDescent="0.4">
      <c r="A16" s="96"/>
      <c r="B16" s="29"/>
      <c r="C16" s="29"/>
      <c r="D16" s="29"/>
      <c r="E16" s="48"/>
      <c r="F16" s="30"/>
      <c r="G16" s="10"/>
      <c r="H16" s="10"/>
      <c r="I16" s="10"/>
      <c r="J16" s="10"/>
      <c r="K16" s="16"/>
      <c r="L16" s="88"/>
      <c r="M16" s="16"/>
      <c r="N16" s="16"/>
      <c r="O16" s="23"/>
      <c r="P16" s="23"/>
    </row>
    <row r="17" spans="1:27" customFormat="1" hidden="1" x14ac:dyDescent="0.35">
      <c r="A17" s="18"/>
      <c r="B17" s="43"/>
      <c r="C17" s="43"/>
      <c r="D17" s="43"/>
      <c r="E17" s="45"/>
      <c r="F17" s="43"/>
      <c r="G17" s="10"/>
      <c r="H17" s="10"/>
      <c r="I17" s="10"/>
      <c r="J17" s="10"/>
      <c r="K17" s="16"/>
      <c r="L17" s="88"/>
      <c r="M17" s="16"/>
      <c r="N17" s="16"/>
      <c r="O17" s="23"/>
      <c r="P17" s="23"/>
    </row>
    <row r="18" spans="1:27" customFormat="1" ht="15" hidden="1" customHeight="1" x14ac:dyDescent="0.35">
      <c r="A18" s="1" t="s">
        <v>16</v>
      </c>
      <c r="B18" s="1"/>
      <c r="C18" s="1"/>
      <c r="D18" s="1"/>
      <c r="E18" s="1"/>
      <c r="F18" s="1"/>
      <c r="G18" s="69"/>
      <c r="H18" s="69"/>
      <c r="I18" s="69"/>
      <c r="J18" s="69"/>
      <c r="K18" s="16"/>
      <c r="L18" s="88"/>
      <c r="M18" s="16"/>
      <c r="N18" s="16"/>
      <c r="O18" s="23"/>
      <c r="P18" s="23"/>
    </row>
    <row r="19" spans="1:27" customFormat="1" ht="15.75" hidden="1" customHeight="1" thickBot="1" x14ac:dyDescent="0.4">
      <c r="A19" s="2"/>
      <c r="B19" s="2"/>
      <c r="C19" s="2"/>
      <c r="D19" s="2"/>
      <c r="E19" s="2"/>
      <c r="F19" s="2"/>
      <c r="G19" s="70"/>
      <c r="H19" s="70"/>
      <c r="I19" s="70"/>
      <c r="J19" s="70"/>
      <c r="K19" s="16"/>
      <c r="L19" s="88"/>
      <c r="M19" s="16"/>
      <c r="N19" s="16"/>
      <c r="O19" s="23"/>
      <c r="P19" s="23"/>
    </row>
    <row r="20" spans="1:27" x14ac:dyDescent="0.35">
      <c r="A20" s="17"/>
      <c r="B20" s="43"/>
      <c r="C20" s="43"/>
      <c r="D20" s="95"/>
      <c r="E20" s="43"/>
      <c r="F20" s="43"/>
      <c r="G20" s="43"/>
      <c r="H20" s="43"/>
      <c r="I20" s="43"/>
      <c r="J20" s="43"/>
      <c r="K20" s="43"/>
      <c r="L20" s="89"/>
      <c r="P20" s="10"/>
      <c r="Q20" s="10"/>
      <c r="R20" s="10"/>
      <c r="S20" s="97"/>
      <c r="T20" s="10"/>
      <c r="U20" s="10"/>
    </row>
    <row r="21" spans="1:27" x14ac:dyDescent="0.35">
      <c r="A21" s="15"/>
      <c r="B21" s="10"/>
      <c r="C21" s="10"/>
      <c r="D21" s="10"/>
      <c r="E21" s="10"/>
      <c r="G21" s="10"/>
      <c r="H21" s="10"/>
      <c r="I21" s="10"/>
      <c r="J21" s="10"/>
      <c r="K21" s="10"/>
      <c r="L21" s="90"/>
      <c r="P21" s="10"/>
      <c r="Q21" s="80"/>
      <c r="R21" s="80"/>
      <c r="S21" s="80"/>
      <c r="T21" s="80"/>
      <c r="U21" s="80"/>
      <c r="V21" s="80"/>
      <c r="W21" s="80"/>
    </row>
    <row r="22" spans="1:27" s="64" customFormat="1" ht="43.5" x14ac:dyDescent="0.35">
      <c r="A22" s="58" t="s">
        <v>2</v>
      </c>
      <c r="B22" s="59" t="s">
        <v>14</v>
      </c>
      <c r="C22" s="60" t="s">
        <v>13</v>
      </c>
      <c r="D22" s="61" t="s">
        <v>15</v>
      </c>
      <c r="E22" s="62" t="s">
        <v>22</v>
      </c>
      <c r="F22" s="63" t="s">
        <v>20</v>
      </c>
      <c r="G22" s="122" t="s">
        <v>30</v>
      </c>
      <c r="H22" s="123" t="s">
        <v>21</v>
      </c>
      <c r="I22" s="122" t="s">
        <v>10</v>
      </c>
      <c r="J22" s="122" t="s">
        <v>21</v>
      </c>
      <c r="K22" s="122" t="s">
        <v>11</v>
      </c>
      <c r="L22" s="91" t="s">
        <v>8</v>
      </c>
      <c r="Q22" s="80"/>
      <c r="R22" s="80"/>
      <c r="S22" s="80"/>
      <c r="T22" s="80"/>
      <c r="U22" s="80"/>
      <c r="V22" s="80"/>
      <c r="W22" s="80"/>
    </row>
    <row r="23" spans="1:27" x14ac:dyDescent="0.35">
      <c r="A23" s="24">
        <f>Explanation!A35</f>
        <v>0</v>
      </c>
      <c r="B23" s="34" t="str">
        <f>Explanation!B35</f>
        <v/>
      </c>
      <c r="C23" s="34">
        <f>Explanation!C35</f>
        <v>0</v>
      </c>
      <c r="D23" s="34">
        <f>Explanation!D35</f>
        <v>0</v>
      </c>
      <c r="E23" s="113">
        <f>Explanation!E35</f>
        <v>0</v>
      </c>
      <c r="F23" s="9"/>
      <c r="G23" s="114">
        <f>Explanation!G35</f>
        <v>0.82</v>
      </c>
      <c r="H23" s="114"/>
      <c r="I23" s="114"/>
      <c r="J23" s="114"/>
      <c r="K23" s="114"/>
      <c r="L23" s="150">
        <f>E23*D23</f>
        <v>0</v>
      </c>
      <c r="Q23" s="80"/>
      <c r="R23" s="80"/>
      <c r="S23" s="80"/>
      <c r="T23" s="80"/>
      <c r="U23" s="80"/>
      <c r="V23" s="80"/>
      <c r="W23" s="80"/>
    </row>
    <row r="24" spans="1:27" ht="15" thickBot="1" x14ac:dyDescent="0.4">
      <c r="A24" s="24">
        <f>Explanation!A36</f>
        <v>0</v>
      </c>
      <c r="B24" s="35" t="str">
        <f>Explanation!B36</f>
        <v/>
      </c>
      <c r="C24" s="35" t="str">
        <f>Explanation!C36</f>
        <v/>
      </c>
      <c r="D24" s="35">
        <f>Explanation!D36</f>
        <v>0</v>
      </c>
      <c r="E24" s="113">
        <f>Explanation!E36</f>
        <v>0</v>
      </c>
      <c r="F24" s="9"/>
      <c r="G24" s="114">
        <f>Explanation!G36</f>
        <v>0.82</v>
      </c>
      <c r="H24" s="114"/>
      <c r="I24" s="114"/>
      <c r="J24" s="114"/>
      <c r="K24" s="114">
        <f>Explanation!K36</f>
        <v>0</v>
      </c>
      <c r="L24" s="150">
        <f>E24*D24</f>
        <v>0</v>
      </c>
      <c r="Q24" s="80"/>
      <c r="R24" s="80"/>
      <c r="S24" s="80"/>
      <c r="T24" s="80"/>
      <c r="U24" s="80"/>
      <c r="V24" s="80"/>
      <c r="W24" s="80"/>
    </row>
    <row r="25" spans="1:27" ht="15" customHeight="1" thickTop="1" x14ac:dyDescent="0.35">
      <c r="A25" s="81" t="str">
        <f>Explanation!A37</f>
        <v/>
      </c>
      <c r="B25" s="82"/>
      <c r="C25" s="82"/>
      <c r="D25" s="83">
        <f>SUM(D23:D24)</f>
        <v>0</v>
      </c>
      <c r="E25" s="115"/>
      <c r="F25" s="84"/>
      <c r="G25" s="116"/>
      <c r="H25" s="116"/>
      <c r="I25" s="116"/>
      <c r="J25" s="116"/>
      <c r="K25" s="116"/>
      <c r="L25" s="151"/>
      <c r="M25" s="80"/>
      <c r="N25" s="80"/>
      <c r="O25" s="80"/>
      <c r="P25" s="80"/>
      <c r="Q25" s="80"/>
      <c r="R25" s="80"/>
      <c r="S25" s="80"/>
      <c r="T25" s="80"/>
      <c r="U25" s="80"/>
      <c r="V25" s="80"/>
      <c r="W25" s="80"/>
      <c r="X25" s="80"/>
      <c r="Y25" s="80"/>
      <c r="Z25" s="80"/>
      <c r="AA25" s="80"/>
    </row>
    <row r="26" spans="1:27" ht="15" customHeight="1" x14ac:dyDescent="0.35">
      <c r="A26" s="26"/>
      <c r="B26" s="5"/>
      <c r="C26" s="5"/>
      <c r="D26" s="6"/>
      <c r="E26" s="117"/>
      <c r="F26" s="7"/>
      <c r="G26" s="118"/>
      <c r="H26" s="118"/>
      <c r="I26" s="119"/>
      <c r="J26" s="119"/>
      <c r="K26" s="119"/>
      <c r="L26" s="152"/>
      <c r="Q26" s="80"/>
      <c r="R26" s="80"/>
      <c r="S26" s="80"/>
      <c r="T26" s="80"/>
      <c r="U26" s="80"/>
      <c r="V26" s="80"/>
      <c r="W26" s="80"/>
    </row>
    <row r="27" spans="1:27" s="64" customFormat="1" ht="43.5" x14ac:dyDescent="0.35">
      <c r="A27" s="58" t="s">
        <v>3</v>
      </c>
      <c r="B27" s="59" t="s">
        <v>14</v>
      </c>
      <c r="C27" s="60" t="s">
        <v>13</v>
      </c>
      <c r="D27" s="61" t="s">
        <v>15</v>
      </c>
      <c r="E27" s="120" t="s">
        <v>22</v>
      </c>
      <c r="F27" s="63" t="s">
        <v>20</v>
      </c>
      <c r="G27" s="122" t="str">
        <f>G22</f>
        <v>Gross fee</v>
      </c>
      <c r="H27" s="123" t="s">
        <v>21</v>
      </c>
      <c r="I27" s="122" t="s">
        <v>10</v>
      </c>
      <c r="J27" s="122" t="s">
        <v>21</v>
      </c>
      <c r="K27" s="122" t="s">
        <v>11</v>
      </c>
      <c r="L27" s="153" t="s">
        <v>8</v>
      </c>
      <c r="Q27" s="80"/>
      <c r="R27" s="80"/>
      <c r="S27" s="80"/>
      <c r="T27" s="80"/>
      <c r="U27" s="80"/>
      <c r="V27" s="80"/>
      <c r="W27" s="80"/>
    </row>
    <row r="28" spans="1:27" x14ac:dyDescent="0.35">
      <c r="A28" s="24">
        <f>Explanation!A40</f>
        <v>0</v>
      </c>
      <c r="B28" s="34" t="str">
        <f>Explanation!B40</f>
        <v/>
      </c>
      <c r="C28" s="34" t="str">
        <f>Explanation!C40</f>
        <v/>
      </c>
      <c r="D28" s="34">
        <f>Explanation!D40</f>
        <v>0</v>
      </c>
      <c r="E28" s="113">
        <f>Explanation!E40</f>
        <v>0</v>
      </c>
      <c r="F28" s="9"/>
      <c r="G28" s="114" t="str">
        <f>Explanation!G40</f>
        <v/>
      </c>
      <c r="H28" s="114"/>
      <c r="I28" s="114">
        <f>Explanation!I40</f>
        <v>0</v>
      </c>
      <c r="J28" s="114"/>
      <c r="K28" s="114"/>
      <c r="L28" s="150">
        <f>E28*D28</f>
        <v>0</v>
      </c>
      <c r="Q28" s="10"/>
    </row>
    <row r="29" spans="1:27" ht="15" thickBot="1" x14ac:dyDescent="0.4">
      <c r="A29" s="25">
        <f>Explanation!A41</f>
        <v>0</v>
      </c>
      <c r="B29" s="35" t="str">
        <f>Explanation!B41</f>
        <v/>
      </c>
      <c r="C29" s="35" t="str">
        <f>Explanation!C41</f>
        <v/>
      </c>
      <c r="D29" s="35">
        <f>Explanation!D41</f>
        <v>0</v>
      </c>
      <c r="E29" s="113">
        <f>Explanation!E41</f>
        <v>0</v>
      </c>
      <c r="F29" s="9"/>
      <c r="G29" s="114" t="str">
        <f>Explanation!G41</f>
        <v/>
      </c>
      <c r="H29" s="114"/>
      <c r="I29" s="114">
        <f>Explanation!I41</f>
        <v>0</v>
      </c>
      <c r="J29" s="114"/>
      <c r="K29" s="114">
        <f>Explanation!K41</f>
        <v>0</v>
      </c>
      <c r="L29" s="150">
        <f>E29*D29</f>
        <v>0</v>
      </c>
      <c r="Q29" s="10"/>
    </row>
    <row r="30" spans="1:27" ht="15" customHeight="1" thickTop="1" x14ac:dyDescent="0.35">
      <c r="A30" s="81">
        <f>Explanation!A42</f>
        <v>0</v>
      </c>
      <c r="B30" s="82"/>
      <c r="C30" s="82"/>
      <c r="D30" s="83">
        <f>SUM(D28:D29)</f>
        <v>0</v>
      </c>
      <c r="E30" s="115"/>
      <c r="F30" s="84"/>
      <c r="G30" s="116"/>
      <c r="H30" s="116"/>
      <c r="I30" s="116"/>
      <c r="J30" s="116"/>
      <c r="K30" s="116"/>
      <c r="L30" s="151"/>
      <c r="M30" s="80"/>
      <c r="N30" s="80"/>
      <c r="O30" s="80"/>
      <c r="P30" s="80"/>
      <c r="Q30" s="77"/>
      <c r="R30" s="80"/>
      <c r="S30" s="80"/>
      <c r="T30" s="80"/>
      <c r="U30" s="80"/>
      <c r="V30" s="80"/>
      <c r="W30" s="80"/>
      <c r="X30" s="80"/>
      <c r="Y30" s="80"/>
      <c r="Z30" s="80"/>
      <c r="AA30" s="80"/>
    </row>
    <row r="31" spans="1:27" ht="15" customHeight="1" x14ac:dyDescent="0.35">
      <c r="A31" s="26"/>
      <c r="B31" s="5"/>
      <c r="C31" s="5"/>
      <c r="D31" s="6"/>
      <c r="E31" s="117"/>
      <c r="F31" s="7"/>
      <c r="G31" s="118"/>
      <c r="H31" s="118"/>
      <c r="I31" s="119"/>
      <c r="J31" s="119"/>
      <c r="K31" s="119"/>
      <c r="L31" s="152"/>
      <c r="Q31" s="10"/>
    </row>
    <row r="32" spans="1:27" s="64" customFormat="1" ht="43.5" x14ac:dyDescent="0.35">
      <c r="A32" s="58" t="s">
        <v>4</v>
      </c>
      <c r="B32" s="59" t="s">
        <v>14</v>
      </c>
      <c r="C32" s="60" t="s">
        <v>13</v>
      </c>
      <c r="D32" s="61" t="s">
        <v>15</v>
      </c>
      <c r="E32" s="120" t="s">
        <v>22</v>
      </c>
      <c r="F32" s="63" t="s">
        <v>20</v>
      </c>
      <c r="G32" s="122" t="str">
        <f>G27</f>
        <v>Gross fee</v>
      </c>
      <c r="H32" s="123" t="s">
        <v>21</v>
      </c>
      <c r="I32" s="122" t="s">
        <v>10</v>
      </c>
      <c r="J32" s="122" t="s">
        <v>21</v>
      </c>
      <c r="K32" s="122" t="s">
        <v>11</v>
      </c>
      <c r="L32" s="153" t="s">
        <v>8</v>
      </c>
      <c r="Q32" s="65"/>
      <c r="R32" s="65"/>
      <c r="S32" s="66"/>
      <c r="T32" s="66"/>
      <c r="U32" s="66"/>
    </row>
    <row r="33" spans="1:27" x14ac:dyDescent="0.35">
      <c r="A33" s="24">
        <f>Explanation!A45</f>
        <v>0</v>
      </c>
      <c r="B33" s="34" t="str">
        <f>Explanation!B45</f>
        <v/>
      </c>
      <c r="C33" s="34" t="str">
        <f>Explanation!C45</f>
        <v/>
      </c>
      <c r="D33" s="34">
        <f>Explanation!D45</f>
        <v>0</v>
      </c>
      <c r="E33" s="113">
        <f>Explanation!E45</f>
        <v>0</v>
      </c>
      <c r="F33" s="9"/>
      <c r="G33" s="114" t="str">
        <f>Explanation!G45</f>
        <v/>
      </c>
      <c r="H33" s="114"/>
      <c r="I33" s="114">
        <f>Explanation!I45</f>
        <v>0</v>
      </c>
      <c r="J33" s="114"/>
      <c r="K33" s="114"/>
      <c r="L33" s="150">
        <f>E33*D33</f>
        <v>0</v>
      </c>
      <c r="Q33" s="10"/>
    </row>
    <row r="34" spans="1:27" ht="15" thickBot="1" x14ac:dyDescent="0.4">
      <c r="A34" s="24">
        <f>Explanation!A46</f>
        <v>0</v>
      </c>
      <c r="B34" s="35" t="str">
        <f>Explanation!B46</f>
        <v/>
      </c>
      <c r="C34" s="35" t="str">
        <f>Explanation!C46</f>
        <v/>
      </c>
      <c r="D34" s="35">
        <f>Explanation!D46</f>
        <v>0</v>
      </c>
      <c r="E34" s="113">
        <f>Explanation!E46</f>
        <v>0</v>
      </c>
      <c r="F34" s="9"/>
      <c r="G34" s="114" t="str">
        <f>Explanation!G46</f>
        <v/>
      </c>
      <c r="H34" s="114"/>
      <c r="I34" s="114">
        <f>Explanation!I46</f>
        <v>0</v>
      </c>
      <c r="J34" s="114"/>
      <c r="K34" s="114">
        <f>Explanation!K46</f>
        <v>0</v>
      </c>
      <c r="L34" s="150">
        <f>E34*D34</f>
        <v>0</v>
      </c>
      <c r="Q34" s="10"/>
    </row>
    <row r="35" spans="1:27" ht="15" customHeight="1" thickTop="1" x14ac:dyDescent="0.35">
      <c r="A35" s="81">
        <f>Explanation!A47</f>
        <v>0</v>
      </c>
      <c r="B35" s="82"/>
      <c r="C35" s="82"/>
      <c r="D35" s="83">
        <f>SUM(D33:D34)</f>
        <v>0</v>
      </c>
      <c r="E35" s="84"/>
      <c r="F35" s="84"/>
      <c r="G35" s="74"/>
      <c r="H35" s="74"/>
      <c r="I35" s="94"/>
      <c r="J35" s="94"/>
      <c r="K35" s="94"/>
      <c r="L35" s="151"/>
      <c r="M35" s="80"/>
      <c r="N35" s="80"/>
      <c r="O35" s="80"/>
      <c r="P35" s="80"/>
      <c r="Q35" s="77"/>
      <c r="R35" s="80"/>
      <c r="S35" s="80"/>
      <c r="T35" s="80"/>
      <c r="U35" s="80"/>
      <c r="V35" s="80"/>
      <c r="W35" s="80"/>
      <c r="X35" s="80"/>
      <c r="Y35" s="80"/>
      <c r="Z35" s="80"/>
      <c r="AA35" s="80"/>
    </row>
    <row r="36" spans="1:27" ht="15" customHeight="1" x14ac:dyDescent="0.35">
      <c r="A36" s="54"/>
      <c r="B36" s="55"/>
      <c r="C36" s="55"/>
      <c r="D36" s="56"/>
      <c r="E36" s="56"/>
      <c r="G36" s="57"/>
      <c r="H36" s="57"/>
      <c r="I36" s="57"/>
      <c r="J36" s="57"/>
      <c r="K36" s="57"/>
      <c r="L36" s="124"/>
      <c r="M36" s="10"/>
      <c r="N36" s="10"/>
      <c r="O36" s="10"/>
      <c r="P36" s="10"/>
      <c r="Q36" s="10"/>
    </row>
    <row r="37" spans="1:27" ht="15" customHeight="1" x14ac:dyDescent="0.35">
      <c r="A37" s="52" t="s">
        <v>19</v>
      </c>
      <c r="B37" s="53">
        <f>L23+L24+L28+L29+L33+L34</f>
        <v>0</v>
      </c>
      <c r="C37" s="55"/>
      <c r="D37" s="56"/>
      <c r="E37" s="56"/>
      <c r="G37" s="57"/>
      <c r="H37" s="57"/>
      <c r="I37" s="57"/>
      <c r="J37" s="57"/>
      <c r="K37" s="57"/>
      <c r="L37" s="124"/>
      <c r="M37" s="10"/>
      <c r="N37" s="10"/>
      <c r="O37" s="10"/>
      <c r="P37" s="10"/>
      <c r="Q37" s="10"/>
    </row>
    <row r="38" spans="1:27" ht="16.5" customHeight="1" x14ac:dyDescent="0.35">
      <c r="A38" s="26"/>
      <c r="B38" s="6"/>
      <c r="C38" s="7"/>
      <c r="D38" s="7"/>
      <c r="E38" s="7"/>
      <c r="G38" s="10"/>
      <c r="H38" s="10"/>
      <c r="I38" s="10"/>
      <c r="J38" s="10"/>
      <c r="K38" s="10"/>
      <c r="L38" s="125"/>
      <c r="M38" s="10"/>
      <c r="N38" s="10"/>
      <c r="O38" s="10"/>
      <c r="P38" s="10"/>
      <c r="Q38" s="10"/>
    </row>
    <row r="39" spans="1:27" ht="15" thickBot="1" x14ac:dyDescent="0.4">
      <c r="A39" s="27" t="s">
        <v>9</v>
      </c>
      <c r="B39" s="28"/>
      <c r="C39" s="28"/>
      <c r="D39" s="154">
        <f>IF(D35&gt;0,IF(D34&gt;0,E34,E33),IF(D30&gt;0,IF(D29&gt;0,E29,E28),IF(D24&gt;0,E24,E23)))</f>
        <v>0</v>
      </c>
      <c r="E39" s="68"/>
      <c r="F39" s="68"/>
      <c r="G39" s="29"/>
      <c r="H39" s="29"/>
      <c r="I39" s="29"/>
      <c r="J39" s="29"/>
      <c r="K39" s="29"/>
      <c r="L39" s="126"/>
      <c r="M39" s="10"/>
      <c r="N39" s="10"/>
      <c r="O39" s="10"/>
      <c r="P39" s="10"/>
      <c r="Q39" s="10"/>
    </row>
    <row r="40" spans="1:27" x14ac:dyDescent="0.35">
      <c r="A40" s="49"/>
      <c r="B40" s="49"/>
      <c r="C40" s="49"/>
      <c r="D40" s="50"/>
      <c r="E40" s="10"/>
      <c r="F40" s="10"/>
      <c r="G40" s="10"/>
      <c r="H40" s="10"/>
      <c r="I40" s="10"/>
      <c r="J40" s="10"/>
      <c r="K40" s="10"/>
      <c r="L40" s="87"/>
      <c r="M40" s="10"/>
      <c r="N40" s="10"/>
      <c r="O40" s="10"/>
      <c r="P40" s="10"/>
    </row>
    <row r="41" spans="1:27" ht="16" thickBot="1" x14ac:dyDescent="0.4">
      <c r="A41" s="46" t="s">
        <v>17</v>
      </c>
      <c r="B41" s="49"/>
      <c r="C41" s="49"/>
      <c r="D41" s="50"/>
      <c r="E41" s="10"/>
      <c r="F41" s="10"/>
      <c r="G41" s="10"/>
      <c r="H41" s="10"/>
      <c r="I41" s="10"/>
      <c r="J41" s="10"/>
      <c r="K41" s="10"/>
      <c r="L41" s="87"/>
      <c r="M41" s="10"/>
      <c r="N41" s="10"/>
      <c r="O41" s="10"/>
      <c r="P41" s="10"/>
    </row>
    <row r="42" spans="1:27" x14ac:dyDescent="0.35">
      <c r="A42" s="31" t="s">
        <v>5</v>
      </c>
      <c r="B42" s="37" t="s">
        <v>0</v>
      </c>
      <c r="C42" s="37" t="s">
        <v>6</v>
      </c>
      <c r="D42" s="38" t="s">
        <v>1</v>
      </c>
    </row>
    <row r="43" spans="1:27" x14ac:dyDescent="0.35">
      <c r="A43" s="22">
        <f>Explanation!A55</f>
        <v>0</v>
      </c>
      <c r="B43" s="13">
        <f>Explanation!B55</f>
        <v>0</v>
      </c>
      <c r="C43" s="146">
        <f>Explanation!C55</f>
        <v>0</v>
      </c>
      <c r="D43" s="155" t="str">
        <f>Explanation!D55</f>
        <v/>
      </c>
    </row>
    <row r="44" spans="1:27" x14ac:dyDescent="0.35">
      <c r="A44" s="22">
        <f>Explanation!A56</f>
        <v>0</v>
      </c>
      <c r="B44" s="13">
        <f>Explanation!B56</f>
        <v>0</v>
      </c>
      <c r="C44" s="146">
        <f>Explanation!C56</f>
        <v>0</v>
      </c>
      <c r="D44" s="155" t="str">
        <f>Explanation!D56</f>
        <v/>
      </c>
    </row>
    <row r="45" spans="1:27" x14ac:dyDescent="0.35">
      <c r="A45" s="22">
        <f>Explanation!A57</f>
        <v>0</v>
      </c>
      <c r="B45" s="13">
        <f>Explanation!B57</f>
        <v>0</v>
      </c>
      <c r="C45" s="146">
        <f>Explanation!C57</f>
        <v>0</v>
      </c>
      <c r="D45" s="155">
        <f>Explanation!D57</f>
        <v>0</v>
      </c>
    </row>
    <row r="46" spans="1:27" x14ac:dyDescent="0.35">
      <c r="A46" s="22">
        <f>Explanation!A58</f>
        <v>0</v>
      </c>
      <c r="B46" s="13">
        <f>Explanation!B58</f>
        <v>0</v>
      </c>
      <c r="C46" s="146">
        <f>Explanation!C58</f>
        <v>0</v>
      </c>
      <c r="D46" s="155">
        <f>Explanation!D58</f>
        <v>0</v>
      </c>
    </row>
    <row r="47" spans="1:27" x14ac:dyDescent="0.35">
      <c r="A47" s="22" t="str">
        <f>Explanation!A59</f>
        <v>10025 Historic Benchmark Volume</v>
      </c>
      <c r="B47" s="13">
        <f>Explanation!B59</f>
        <v>0</v>
      </c>
      <c r="C47" s="146">
        <f>Explanation!C59</f>
        <v>0</v>
      </c>
      <c r="D47" s="155">
        <f>Explanation!D59</f>
        <v>0</v>
      </c>
    </row>
    <row r="48" spans="1:27" x14ac:dyDescent="0.35">
      <c r="A48" s="22">
        <f>Explanation!A60</f>
        <v>0</v>
      </c>
      <c r="B48" s="13">
        <f>Explanation!B60</f>
        <v>0</v>
      </c>
      <c r="C48" s="146">
        <f>Explanation!C60</f>
        <v>0</v>
      </c>
      <c r="D48" s="155">
        <f>Explanation!D60</f>
        <v>0</v>
      </c>
    </row>
    <row r="49" spans="1:4" x14ac:dyDescent="0.35">
      <c r="A49" s="22">
        <f>Explanation!A61</f>
        <v>0</v>
      </c>
      <c r="B49" s="13">
        <f>Explanation!B61</f>
        <v>0</v>
      </c>
      <c r="C49" s="146">
        <f>Explanation!C61</f>
        <v>0</v>
      </c>
      <c r="D49" s="155">
        <f>Explanation!D61</f>
        <v>0</v>
      </c>
    </row>
    <row r="50" spans="1:4" ht="15" thickBot="1" x14ac:dyDescent="0.4">
      <c r="A50" s="32">
        <f>Explanation!A62</f>
        <v>0</v>
      </c>
      <c r="B50" s="33">
        <f>Explanation!B62</f>
        <v>0</v>
      </c>
      <c r="C50" s="147">
        <f>Explanation!C62</f>
        <v>0</v>
      </c>
      <c r="D50" s="156">
        <f>Explanation!D62</f>
        <v>0</v>
      </c>
    </row>
  </sheetData>
  <sheetProtection password="8325" sheet="1" objects="1" scenarios="1" selectLockedCells="1" selectUnlockedCells="1"/>
  <customSheetViews>
    <customSheetView guid="{3227145B-6A79-44BD-8157-6B92842E392E}" showGridLines="0" fitToPage="1" hiddenRows="1">
      <pageMargins left="0.25" right="0.25" top="0.75" bottom="0.75" header="0.3" footer="0.3"/>
      <pageSetup scale="42" fitToHeight="2" orientation="portrait" r:id="rId1"/>
    </customSheetView>
    <customSheetView guid="{9C314016-770F-4388-8EF1-C054F16E9C30}" showGridLines="0" fitToPage="1" hiddenRows="1">
      <pageMargins left="0.25" right="0.25" top="0.75" bottom="0.75" header="0.3" footer="0.3"/>
      <pageSetup scale="42" fitToHeight="2" orientation="portrait" r:id="rId2"/>
    </customSheetView>
  </customSheetViews>
  <mergeCells count="1">
    <mergeCell ref="A18:F19"/>
  </mergeCells>
  <conditionalFormatting sqref="A28:L29 A33:L34 A38:B38 E36:E37 G35:H35 A35:B36 C35:D37 A30:C31 A25:C26 A23:L24">
    <cfRule type="cellIs" dxfId="9" priority="10" operator="equal">
      <formula>0</formula>
    </cfRule>
  </conditionalFormatting>
  <conditionalFormatting sqref="G24:K24 L23:L24 D24 E23:F24 F23:K23 D28:L29 D33:L34">
    <cfRule type="cellIs" dxfId="8" priority="9" operator="equal">
      <formula>0</formula>
    </cfRule>
  </conditionalFormatting>
  <conditionalFormatting sqref="E9 E5:E6">
    <cfRule type="cellIs" dxfId="7" priority="8" operator="equal">
      <formula>0</formula>
    </cfRule>
  </conditionalFormatting>
  <conditionalFormatting sqref="D30">
    <cfRule type="cellIs" dxfId="6" priority="7" operator="equal">
      <formula>0</formula>
    </cfRule>
  </conditionalFormatting>
  <conditionalFormatting sqref="A45:D46 A48:D50">
    <cfRule type="cellIs" dxfId="5" priority="6" operator="equal">
      <formula>0</formula>
    </cfRule>
  </conditionalFormatting>
  <conditionalFormatting sqref="A43:A44">
    <cfRule type="cellIs" dxfId="4" priority="5" operator="equal">
      <formula>0</formula>
    </cfRule>
  </conditionalFormatting>
  <conditionalFormatting sqref="B43:B44">
    <cfRule type="cellIs" dxfId="3" priority="4" operator="equal">
      <formula>0</formula>
    </cfRule>
  </conditionalFormatting>
  <conditionalFormatting sqref="B47">
    <cfRule type="cellIs" dxfId="2" priority="3" operator="equal">
      <formula>0</formula>
    </cfRule>
  </conditionalFormatting>
  <conditionalFormatting sqref="C43:C44">
    <cfRule type="cellIs" dxfId="1" priority="2" operator="equal">
      <formula>0</formula>
    </cfRule>
  </conditionalFormatting>
  <conditionalFormatting sqref="D43:D44">
    <cfRule type="cellIs" dxfId="0" priority="1" operator="equal">
      <formula>0</formula>
    </cfRule>
  </conditionalFormatting>
  <pageMargins left="0.25" right="0.25" top="0.75" bottom="0.75" header="0.3" footer="0.3"/>
  <pageSetup scale="42" fitToHeight="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
  <sheetViews>
    <sheetView showGridLines="0" workbookViewId="0">
      <selection activeCell="H2" sqref="H2"/>
    </sheetView>
  </sheetViews>
  <sheetFormatPr defaultRowHeight="14.5" x14ac:dyDescent="0.35"/>
  <sheetData>
    <row r="1" spans="1:9" ht="235.5" customHeight="1" x14ac:dyDescent="0.35">
      <c r="A1" s="157" t="s">
        <v>59</v>
      </c>
      <c r="B1" s="158"/>
      <c r="C1" s="158"/>
      <c r="D1" s="158"/>
      <c r="E1" s="158"/>
      <c r="F1" s="158"/>
      <c r="G1" s="158"/>
      <c r="H1" s="158"/>
      <c r="I1" s="159"/>
    </row>
  </sheetData>
  <sheetProtection password="8325" sheet="1" objects="1" scenarios="1"/>
  <customSheetViews>
    <customSheetView guid="{3227145B-6A79-44BD-8157-6B92842E392E}" showGridLines="0" state="hidden">
      <selection activeCell="A2" sqref="A2"/>
      <pageMargins left="0.7" right="0.7" top="0.75" bottom="0.75" header="0.3" footer="0.3"/>
      <pageSetup orientation="portrait" r:id="rId1"/>
    </customSheetView>
    <customSheetView guid="{9C314016-770F-4388-8EF1-C054F16E9C30}" showGridLines="0" state="hidden">
      <selection activeCell="A2" sqref="A2"/>
      <pageMargins left="0.7" right="0.7" top="0.75" bottom="0.75" header="0.3" footer="0.3"/>
      <pageSetup orientation="portrait" r:id="rId2"/>
    </customSheetView>
  </customSheetViews>
  <mergeCells count="1">
    <mergeCell ref="A1:I1"/>
  </mergeCell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H1" workbookViewId="0">
      <selection activeCell="H1" sqref="H1"/>
    </sheetView>
  </sheetViews>
  <sheetFormatPr defaultRowHeight="14.5" x14ac:dyDescent="0.35"/>
  <cols>
    <col min="1" max="1" width="9" hidden="1" customWidth="1"/>
    <col min="2" max="2" width="11.81640625" hidden="1" customWidth="1"/>
    <col min="3" max="3" width="12.1796875" hidden="1" customWidth="1"/>
    <col min="4" max="4" width="12.453125" hidden="1" customWidth="1"/>
    <col min="5" max="7" width="11" hidden="1" customWidth="1"/>
    <col min="8" max="8" width="13.54296875" customWidth="1"/>
    <col min="9" max="9" width="10.453125" bestFit="1" customWidth="1"/>
    <col min="10" max="10" width="10" bestFit="1" customWidth="1"/>
    <col min="11" max="11" width="7.7265625" bestFit="1" customWidth="1"/>
    <col min="12" max="12" width="8.7265625" bestFit="1" customWidth="1"/>
    <col min="13" max="13" width="7.7265625" bestFit="1" customWidth="1"/>
    <col min="14" max="14" width="17.453125" bestFit="1" customWidth="1"/>
    <col min="15" max="15" width="17.54296875" bestFit="1" customWidth="1"/>
    <col min="16" max="16" width="9.26953125" bestFit="1" customWidth="1"/>
    <col min="17" max="17" width="10.453125" bestFit="1" customWidth="1"/>
    <col min="18" max="18" width="9.81640625" bestFit="1" customWidth="1"/>
  </cols>
  <sheetData>
    <row r="1" spans="1:18" s="99" customFormat="1" x14ac:dyDescent="0.35">
      <c r="A1" s="98"/>
      <c r="C1" s="100">
        <v>252</v>
      </c>
      <c r="D1" s="100">
        <v>252</v>
      </c>
      <c r="E1" s="100">
        <v>251</v>
      </c>
      <c r="F1" s="100">
        <v>251</v>
      </c>
      <c r="G1" s="100">
        <v>251</v>
      </c>
      <c r="H1" s="100">
        <v>20</v>
      </c>
      <c r="I1" s="100"/>
      <c r="J1" s="100">
        <v>14000</v>
      </c>
      <c r="K1" s="100">
        <v>90000</v>
      </c>
      <c r="L1" s="100"/>
      <c r="M1" s="100"/>
      <c r="N1" s="101">
        <v>0.6</v>
      </c>
      <c r="O1" s="100"/>
      <c r="P1" s="102"/>
      <c r="Q1" s="102"/>
      <c r="R1" s="102"/>
    </row>
    <row r="2" spans="1:18" x14ac:dyDescent="0.35">
      <c r="A2" s="98"/>
      <c r="B2" s="103" t="s">
        <v>31</v>
      </c>
      <c r="C2" s="103" t="s">
        <v>55</v>
      </c>
      <c r="D2" s="103" t="s">
        <v>56</v>
      </c>
      <c r="E2" s="103" t="s">
        <v>57</v>
      </c>
      <c r="F2" s="103">
        <v>2012</v>
      </c>
      <c r="G2" s="103" t="s">
        <v>58</v>
      </c>
      <c r="H2" s="103" t="s">
        <v>39</v>
      </c>
      <c r="I2" s="100" t="s">
        <v>40</v>
      </c>
      <c r="J2" s="100" t="s">
        <v>32</v>
      </c>
      <c r="K2" s="100" t="s">
        <v>3</v>
      </c>
      <c r="L2" s="100" t="s">
        <v>4</v>
      </c>
      <c r="M2" s="100" t="s">
        <v>2</v>
      </c>
      <c r="N2" s="100" t="s">
        <v>33</v>
      </c>
      <c r="O2" s="100" t="s">
        <v>34</v>
      </c>
      <c r="P2" s="100" t="s">
        <v>35</v>
      </c>
      <c r="Q2" s="104" t="s">
        <v>36</v>
      </c>
      <c r="R2" s="104" t="s">
        <v>37</v>
      </c>
    </row>
    <row r="3" spans="1:18" x14ac:dyDescent="0.35">
      <c r="A3" s="105">
        <v>11000028</v>
      </c>
      <c r="B3" s="106" t="s">
        <v>38</v>
      </c>
      <c r="C3" s="107">
        <v>5934231</v>
      </c>
      <c r="D3" s="107">
        <v>5613508</v>
      </c>
      <c r="E3" s="107">
        <v>5835346</v>
      </c>
      <c r="F3" s="107">
        <v>5886454</v>
      </c>
      <c r="G3" s="107">
        <v>6234568.9199999999</v>
      </c>
      <c r="H3" s="107">
        <f>Explanation!E19</f>
        <v>0</v>
      </c>
      <c r="I3" s="104">
        <f>Explanation!E21</f>
        <v>0</v>
      </c>
      <c r="J3" s="108">
        <f>H3</f>
        <v>0</v>
      </c>
      <c r="K3" s="109">
        <f>IF(J3&gt;J$1,J3-L3-J$1,0)</f>
        <v>0</v>
      </c>
      <c r="L3" s="109">
        <f>IF(J3&gt;K$1,J3-K$1,0)</f>
        <v>0</v>
      </c>
      <c r="M3" s="109">
        <f>IF(H3&lt;J1,H3,J1)</f>
        <v>0</v>
      </c>
      <c r="N3" s="102">
        <f>MAX(0,ROUND(J3-I3*N$1,0))</f>
        <v>0</v>
      </c>
      <c r="O3" s="110" t="e">
        <f>N3/H3</f>
        <v>#DIV/0!</v>
      </c>
      <c r="P3" s="102">
        <f>IF(I3=0,0,MAX(N3-Q3-R3,0))</f>
        <v>0</v>
      </c>
      <c r="Q3" s="104">
        <f>IF(I3=0,0,IF((N3-R3)&gt;0,MIN(K3,N3-R3),0))</f>
        <v>0</v>
      </c>
      <c r="R3" s="104">
        <f>IF(I3=0,0,IF(L3&lt;0,0,MIN(N3,L3)))</f>
        <v>0</v>
      </c>
    </row>
  </sheetData>
  <sheetProtection password="8325" sheet="1" objects="1" scenarios="1"/>
  <customSheetViews>
    <customSheetView guid="{3227145B-6A79-44BD-8157-6B92842E392E}" hiddenColumns="1" state="hidden" topLeftCell="H1">
      <selection activeCell="M3" sqref="M3"/>
      <pageMargins left="0.7" right="0.7" top="0.75" bottom="0.75" header="0.3" footer="0.3"/>
    </customSheetView>
    <customSheetView guid="{9C314016-770F-4388-8EF1-C054F16E9C30}" hiddenColumns="1" state="hidden" topLeftCell="H1">
      <selection activeCell="M3" sqref="M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Explanation</vt:lpstr>
      <vt:lpstr>Explanation Detail</vt:lpstr>
      <vt:lpstr>Historic Benchmark Volume</vt:lpstr>
      <vt:lpstr>Sheet2</vt:lpstr>
      <vt:lpstr>'Explanation Detail'!Hyperlink2</vt:lpstr>
      <vt:lpstr>Hyperlink2</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Incentive Pricing Calculator</dc:title>
  <dc:creator>Federal Reserve Banks</dc:creator>
  <cp:lastModifiedBy>Meyers, Jennifer L</cp:lastModifiedBy>
  <cp:lastPrinted>2012-09-27T20:10:36Z</cp:lastPrinted>
  <dcterms:created xsi:type="dcterms:W3CDTF">2010-05-05T12:29:30Z</dcterms:created>
  <dcterms:modified xsi:type="dcterms:W3CDTF">2018-10-03T21:28:32Z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7fcec229-3b4b-47ef-a0db-1329fdfadd2e</vt:lpwstr>
  </property>
</Properties>
</file>